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1595" windowHeight="7935" tabRatio="873"/>
  </bookViews>
  <sheets>
    <sheet name="CTRL DADS" sheetId="1" r:id="rId1"/>
    <sheet name="APPR." sheetId="2" r:id="rId2"/>
    <sheet name="FILLON" sheetId="3" r:id="rId3"/>
  </sheets>
  <definedNames>
    <definedName name="_xlnm.Print_Area" localSheetId="0">'CTRL DADS'!$A$1:$O$93</definedName>
  </definedNames>
  <calcPr calcId="124519"/>
</workbook>
</file>

<file path=xl/calcChain.xml><?xml version="1.0" encoding="utf-8"?>
<calcChain xmlns="http://schemas.openxmlformats.org/spreadsheetml/2006/main">
  <c r="M93" i="1"/>
  <c r="M90"/>
  <c r="M80"/>
  <c r="L86"/>
  <c r="L64"/>
  <c r="M64"/>
  <c r="L65"/>
  <c r="M65"/>
  <c r="M57"/>
  <c r="M53"/>
  <c r="L57"/>
  <c r="L53"/>
  <c r="M39"/>
  <c r="M38"/>
  <c r="L37"/>
  <c r="L38"/>
  <c r="L39"/>
  <c r="L40"/>
  <c r="L41"/>
  <c r="L42"/>
  <c r="M42"/>
  <c r="L43"/>
  <c r="L44"/>
  <c r="L46"/>
  <c r="L36"/>
  <c r="L35"/>
  <c r="L33"/>
  <c r="L34"/>
  <c r="M34"/>
  <c r="K33"/>
  <c r="K34"/>
  <c r="K47"/>
  <c r="C39"/>
  <c r="K38"/>
  <c r="C38"/>
  <c r="E38"/>
  <c r="C69"/>
  <c r="C67"/>
  <c r="K70" i="3"/>
  <c r="E37" i="1"/>
  <c r="M37"/>
  <c r="M47" s="1"/>
  <c r="E48" s="1"/>
  <c r="E49" s="1"/>
  <c r="M48" i="3"/>
  <c r="K67"/>
  <c r="G48"/>
  <c r="F48"/>
  <c r="F39"/>
  <c r="H39"/>
  <c r="F41"/>
  <c r="H41"/>
  <c r="F42"/>
  <c r="H42"/>
  <c r="F43"/>
  <c r="F44"/>
  <c r="H44"/>
  <c r="F46"/>
  <c r="H46"/>
  <c r="F47"/>
  <c r="H47"/>
  <c r="F49"/>
  <c r="H49"/>
  <c r="F50"/>
  <c r="H50"/>
  <c r="F51"/>
  <c r="H51"/>
  <c r="F53"/>
  <c r="H53"/>
  <c r="F54"/>
  <c r="H54"/>
  <c r="F55"/>
  <c r="H55"/>
  <c r="F56"/>
  <c r="H56"/>
  <c r="F57"/>
  <c r="H57"/>
  <c r="F59"/>
  <c r="H59"/>
  <c r="F60"/>
  <c r="F61"/>
  <c r="H61"/>
  <c r="F62"/>
  <c r="H62"/>
  <c r="F63"/>
  <c r="H63"/>
  <c r="F64"/>
  <c r="H64"/>
  <c r="H43"/>
  <c r="H60"/>
  <c r="F65"/>
  <c r="H65"/>
  <c r="F38"/>
  <c r="H38"/>
  <c r="H33"/>
  <c r="F20"/>
  <c r="H20"/>
  <c r="F19"/>
  <c r="H19"/>
  <c r="F18"/>
  <c r="H18"/>
  <c r="F17"/>
  <c r="H17"/>
  <c r="F16"/>
  <c r="H16"/>
  <c r="F15"/>
  <c r="H15"/>
  <c r="F14"/>
  <c r="H14"/>
  <c r="F13"/>
  <c r="H13"/>
  <c r="F12"/>
  <c r="H12"/>
  <c r="F11"/>
  <c r="H11"/>
  <c r="F10"/>
  <c r="H10"/>
  <c r="F9"/>
  <c r="H9"/>
  <c r="H4"/>
  <c r="D90" i="1"/>
  <c r="D86"/>
  <c r="I86"/>
  <c r="K28"/>
  <c r="N28"/>
  <c r="H28"/>
  <c r="I26"/>
  <c r="G21" i="2"/>
  <c r="D14"/>
  <c r="D15"/>
  <c r="D16"/>
  <c r="D17"/>
  <c r="D18"/>
  <c r="D19"/>
  <c r="D20"/>
  <c r="D21"/>
  <c r="E21"/>
  <c r="I21"/>
  <c r="D22"/>
  <c r="D23"/>
  <c r="D24"/>
  <c r="E24"/>
  <c r="G24"/>
  <c r="I24"/>
  <c r="D13"/>
  <c r="E13"/>
  <c r="G13"/>
  <c r="E22"/>
  <c r="G22"/>
  <c r="I22"/>
  <c r="C22"/>
  <c r="H25"/>
  <c r="C24"/>
  <c r="E23"/>
  <c r="G23"/>
  <c r="I23"/>
  <c r="C23"/>
  <c r="C21"/>
  <c r="E20"/>
  <c r="G20"/>
  <c r="I20"/>
  <c r="C20"/>
  <c r="E19"/>
  <c r="G19"/>
  <c r="I19"/>
  <c r="C19"/>
  <c r="E18"/>
  <c r="G18"/>
  <c r="I18"/>
  <c r="C18"/>
  <c r="E17"/>
  <c r="G17"/>
  <c r="I17"/>
  <c r="C17"/>
  <c r="E16"/>
  <c r="G16"/>
  <c r="I16"/>
  <c r="C16"/>
  <c r="E15"/>
  <c r="G15"/>
  <c r="I15"/>
  <c r="C15"/>
  <c r="E14"/>
  <c r="G14"/>
  <c r="I14"/>
  <c r="C14"/>
  <c r="C13"/>
  <c r="G27" i="1"/>
  <c r="G26"/>
  <c r="D45"/>
  <c r="G13"/>
  <c r="G14"/>
  <c r="G15"/>
  <c r="G16"/>
  <c r="G17"/>
  <c r="G18"/>
  <c r="G19"/>
  <c r="G12"/>
  <c r="C3"/>
  <c r="J18"/>
  <c r="M18"/>
  <c r="K20"/>
  <c r="B3"/>
  <c r="I8"/>
  <c r="G9"/>
  <c r="I10"/>
  <c r="L10"/>
  <c r="G22"/>
  <c r="H11"/>
  <c r="C78"/>
  <c r="E78"/>
  <c r="H20"/>
  <c r="C86"/>
  <c r="E86"/>
  <c r="M70"/>
  <c r="K70"/>
  <c r="I70"/>
  <c r="G70"/>
  <c r="M66"/>
  <c r="M67"/>
  <c r="D69"/>
  <c r="M69"/>
  <c r="M72"/>
  <c r="M73"/>
  <c r="M74"/>
  <c r="M76"/>
  <c r="M77"/>
  <c r="M78"/>
  <c r="K64"/>
  <c r="K65"/>
  <c r="K66"/>
  <c r="K67"/>
  <c r="K72"/>
  <c r="K73"/>
  <c r="K74"/>
  <c r="K76"/>
  <c r="K77"/>
  <c r="K78"/>
  <c r="I73"/>
  <c r="G73"/>
  <c r="E73"/>
  <c r="I67"/>
  <c r="G67"/>
  <c r="I66"/>
  <c r="G66"/>
  <c r="N11"/>
  <c r="N20"/>
  <c r="B5"/>
  <c r="D42"/>
  <c r="I42"/>
  <c r="I58"/>
  <c r="G58"/>
  <c r="E54"/>
  <c r="E55"/>
  <c r="E56"/>
  <c r="I33"/>
  <c r="I34"/>
  <c r="I35"/>
  <c r="I36"/>
  <c r="I38"/>
  <c r="I39"/>
  <c r="I40"/>
  <c r="H43"/>
  <c r="I43"/>
  <c r="G33"/>
  <c r="G34"/>
  <c r="G35"/>
  <c r="G36"/>
  <c r="G38"/>
  <c r="G39"/>
  <c r="G40"/>
  <c r="F43"/>
  <c r="G43"/>
  <c r="E39"/>
  <c r="E40"/>
  <c r="C43"/>
  <c r="E43"/>
  <c r="K88"/>
  <c r="G88"/>
  <c r="I88"/>
  <c r="M88"/>
  <c r="I76"/>
  <c r="G76"/>
  <c r="E76"/>
  <c r="G78"/>
  <c r="G65"/>
  <c r="I77"/>
  <c r="I65"/>
  <c r="I72"/>
  <c r="I74"/>
  <c r="I78"/>
  <c r="I64"/>
  <c r="G68"/>
  <c r="G72"/>
  <c r="G74"/>
  <c r="G75"/>
  <c r="G77"/>
  <c r="G64"/>
  <c r="M43"/>
  <c r="J43"/>
  <c r="K43"/>
  <c r="I87"/>
  <c r="K87"/>
  <c r="K86"/>
  <c r="G87"/>
  <c r="G86"/>
  <c r="M40"/>
  <c r="K40"/>
  <c r="K39"/>
  <c r="K36"/>
  <c r="K35"/>
  <c r="K58"/>
  <c r="M33"/>
  <c r="M36"/>
  <c r="M87"/>
  <c r="M35"/>
  <c r="E57"/>
  <c r="M58"/>
  <c r="I48" i="3"/>
  <c r="J48"/>
  <c r="K48"/>
  <c r="H48"/>
  <c r="I19"/>
  <c r="J19"/>
  <c r="K19"/>
  <c r="I65"/>
  <c r="I64"/>
  <c r="I62"/>
  <c r="J62"/>
  <c r="K62"/>
  <c r="I60"/>
  <c r="J60"/>
  <c r="K60"/>
  <c r="M60"/>
  <c r="I56"/>
  <c r="J56"/>
  <c r="K56"/>
  <c r="I50"/>
  <c r="J50"/>
  <c r="K50"/>
  <c r="I43"/>
  <c r="J43"/>
  <c r="K43"/>
  <c r="I41"/>
  <c r="J41"/>
  <c r="K41"/>
  <c r="I63"/>
  <c r="J63"/>
  <c r="K63"/>
  <c r="I61"/>
  <c r="J61"/>
  <c r="K61"/>
  <c r="I59"/>
  <c r="J59"/>
  <c r="K59"/>
  <c r="I57"/>
  <c r="J57"/>
  <c r="K57"/>
  <c r="I55"/>
  <c r="J55"/>
  <c r="K55"/>
  <c r="I54"/>
  <c r="J54"/>
  <c r="K54"/>
  <c r="I53"/>
  <c r="J53"/>
  <c r="K53"/>
  <c r="I51"/>
  <c r="J51"/>
  <c r="K51"/>
  <c r="I49"/>
  <c r="J49"/>
  <c r="K49"/>
  <c r="I47"/>
  <c r="J47"/>
  <c r="K47"/>
  <c r="I46"/>
  <c r="J46"/>
  <c r="K46"/>
  <c r="I44"/>
  <c r="J44"/>
  <c r="K44"/>
  <c r="I42"/>
  <c r="J42"/>
  <c r="K42"/>
  <c r="H5"/>
  <c r="I10"/>
  <c r="J10"/>
  <c r="K10"/>
  <c r="I12"/>
  <c r="J12"/>
  <c r="K12"/>
  <c r="I14"/>
  <c r="J14"/>
  <c r="K14"/>
  <c r="I16"/>
  <c r="J16"/>
  <c r="K16"/>
  <c r="I18"/>
  <c r="J18"/>
  <c r="K18"/>
  <c r="I20"/>
  <c r="J20"/>
  <c r="K20"/>
  <c r="I38"/>
  <c r="J38"/>
  <c r="K38"/>
  <c r="I9"/>
  <c r="J9"/>
  <c r="K9"/>
  <c r="K22"/>
  <c r="I11"/>
  <c r="J11"/>
  <c r="K11"/>
  <c r="I13"/>
  <c r="J13"/>
  <c r="K13"/>
  <c r="I15"/>
  <c r="J15"/>
  <c r="K15"/>
  <c r="I17"/>
  <c r="J17"/>
  <c r="K17"/>
  <c r="H34"/>
  <c r="I39"/>
  <c r="J39"/>
  <c r="K39"/>
  <c r="J26" i="1"/>
  <c r="M26" s="1"/>
  <c r="G69"/>
  <c r="G80"/>
  <c r="E59"/>
  <c r="G91"/>
  <c r="K91"/>
  <c r="I13"/>
  <c r="L13"/>
  <c r="J27"/>
  <c r="M27"/>
  <c r="I91"/>
  <c r="J28"/>
  <c r="M86"/>
  <c r="M91"/>
  <c r="G25" i="2"/>
  <c r="E27"/>
  <c r="I13"/>
  <c r="I25"/>
  <c r="L26" i="1"/>
  <c r="I27"/>
  <c r="L27"/>
  <c r="L8"/>
  <c r="B4"/>
  <c r="H21"/>
  <c r="H23"/>
  <c r="C33"/>
  <c r="I22"/>
  <c r="L22"/>
  <c r="I14"/>
  <c r="L14"/>
  <c r="I9"/>
  <c r="L9"/>
  <c r="I18"/>
  <c r="L18"/>
  <c r="I16"/>
  <c r="L16"/>
  <c r="I47"/>
  <c r="N21"/>
  <c r="N23"/>
  <c r="J9"/>
  <c r="M9"/>
  <c r="O9"/>
  <c r="I17"/>
  <c r="L17"/>
  <c r="O17"/>
  <c r="I19"/>
  <c r="L19"/>
  <c r="J17"/>
  <c r="M17"/>
  <c r="I15"/>
  <c r="L15"/>
  <c r="G42"/>
  <c r="G47"/>
  <c r="J16"/>
  <c r="M16"/>
  <c r="O16"/>
  <c r="O18"/>
  <c r="J13"/>
  <c r="M13"/>
  <c r="C34"/>
  <c r="E34"/>
  <c r="C53"/>
  <c r="E53"/>
  <c r="E58"/>
  <c r="E33"/>
  <c r="O13"/>
  <c r="K9"/>
  <c r="I12"/>
  <c r="J19"/>
  <c r="M19"/>
  <c r="O19"/>
  <c r="J14"/>
  <c r="M14"/>
  <c r="O14"/>
  <c r="J22"/>
  <c r="I69"/>
  <c r="I80"/>
  <c r="K42"/>
  <c r="E42"/>
  <c r="K69"/>
  <c r="K80"/>
  <c r="J8"/>
  <c r="K8"/>
  <c r="J10"/>
  <c r="C4"/>
  <c r="J12"/>
  <c r="J15"/>
  <c r="M15"/>
  <c r="O15"/>
  <c r="E92"/>
  <c r="E60"/>
  <c r="O27"/>
  <c r="L28"/>
  <c r="I28"/>
  <c r="I11"/>
  <c r="L11"/>
  <c r="E81"/>
  <c r="J20"/>
  <c r="C66"/>
  <c r="M12"/>
  <c r="M20"/>
  <c r="K10"/>
  <c r="K11"/>
  <c r="K21"/>
  <c r="K23"/>
  <c r="M10"/>
  <c r="O10"/>
  <c r="M22"/>
  <c r="M8"/>
  <c r="J11"/>
  <c r="I20"/>
  <c r="L12"/>
  <c r="E88"/>
  <c r="C45"/>
  <c r="C90"/>
  <c r="E90" s="1"/>
  <c r="E91" s="1"/>
  <c r="E93" s="1"/>
  <c r="E95" s="1"/>
  <c r="O12"/>
  <c r="C87"/>
  <c r="E87"/>
  <c r="C64"/>
  <c r="I21"/>
  <c r="I23"/>
  <c r="C35"/>
  <c r="E35"/>
  <c r="M11"/>
  <c r="M21"/>
  <c r="O8"/>
  <c r="O11"/>
  <c r="M23"/>
  <c r="O22"/>
  <c r="O20"/>
  <c r="L20"/>
  <c r="L21"/>
  <c r="L23"/>
  <c r="C74"/>
  <c r="E74"/>
  <c r="C72"/>
  <c r="E72"/>
  <c r="C77"/>
  <c r="E77"/>
  <c r="J21"/>
  <c r="J23"/>
  <c r="E66"/>
  <c r="E67"/>
  <c r="E45"/>
  <c r="L45"/>
  <c r="M45"/>
  <c r="E69"/>
  <c r="C70"/>
  <c r="E70"/>
  <c r="O21"/>
  <c r="O23"/>
  <c r="C36"/>
  <c r="E36"/>
  <c r="E47"/>
  <c r="C65"/>
  <c r="E65"/>
  <c r="E64"/>
  <c r="E80"/>
  <c r="E82"/>
  <c r="M28" l="1"/>
  <c r="O26"/>
  <c r="O28" s="1"/>
</calcChain>
</file>

<file path=xl/comments1.xml><?xml version="1.0" encoding="utf-8"?>
<comments xmlns="http://schemas.openxmlformats.org/spreadsheetml/2006/main">
  <authors>
    <author xml:space="preserve"> </author>
  </authors>
  <commentList>
    <comment ref="C62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<sst xmlns="http://schemas.openxmlformats.org/spreadsheetml/2006/main" count="272" uniqueCount="147">
  <si>
    <t>URSSAF</t>
  </si>
  <si>
    <t>Chômage</t>
  </si>
  <si>
    <t>Cas  gén. déplaf</t>
  </si>
  <si>
    <t>Cas gén. Plaf</t>
  </si>
  <si>
    <t>Taux AT</t>
  </si>
  <si>
    <t>CSG - CDRS</t>
  </si>
  <si>
    <t>Fillon</t>
  </si>
  <si>
    <t>Réduc. Salariale</t>
  </si>
  <si>
    <t>Déd. Patronale</t>
  </si>
  <si>
    <t>TOTAL</t>
  </si>
  <si>
    <t>Taux</t>
  </si>
  <si>
    <t>Bordereau annuel</t>
  </si>
  <si>
    <t>Bases</t>
  </si>
  <si>
    <t>Cotisations</t>
  </si>
  <si>
    <t>1° trimestre</t>
  </si>
  <si>
    <t>2° trimestre</t>
  </si>
  <si>
    <t>3° trimestre</t>
  </si>
  <si>
    <t>4° trimestre</t>
  </si>
  <si>
    <t>TA</t>
  </si>
  <si>
    <t>TB</t>
  </si>
  <si>
    <t>TC</t>
  </si>
  <si>
    <t xml:space="preserve">Nom </t>
  </si>
  <si>
    <t>Type Contrat</t>
  </si>
  <si>
    <t>Catégorie</t>
  </si>
  <si>
    <t>heures présence par mois</t>
  </si>
  <si>
    <t>mois de présence</t>
  </si>
  <si>
    <t>Présence</t>
  </si>
  <si>
    <t>Brut Total</t>
  </si>
  <si>
    <t>CSG CRDS</t>
  </si>
  <si>
    <t>Retraite TA NC</t>
  </si>
  <si>
    <t>AGFF TA NC</t>
  </si>
  <si>
    <t>Retraite TA C</t>
  </si>
  <si>
    <t>AGFF TA C</t>
  </si>
  <si>
    <t>Retraite TB C</t>
  </si>
  <si>
    <t>AGFF TB C</t>
  </si>
  <si>
    <t>CONTRÔLE DADS</t>
  </si>
  <si>
    <t>Prénom</t>
  </si>
  <si>
    <t>Suivant dossiers</t>
  </si>
  <si>
    <t>CET (salaire brut)</t>
  </si>
  <si>
    <t>APEC (TB)</t>
  </si>
  <si>
    <t>Apec forfaitaire (nbre cadres présents au 31/03)</t>
  </si>
  <si>
    <t>Réduction repas</t>
  </si>
  <si>
    <t>Prévoyance non cadres</t>
  </si>
  <si>
    <t>Prévoyance Cadre TA</t>
  </si>
  <si>
    <t>Contrat pro</t>
  </si>
  <si>
    <t>Prévoyance Cadre TB</t>
  </si>
  <si>
    <t>FNGS 1° trim 2009</t>
  </si>
  <si>
    <t>FNGS 2 trim 2009</t>
  </si>
  <si>
    <t>FNGS 3 trim 2009</t>
  </si>
  <si>
    <t>FNGS 4 trim 2009</t>
  </si>
  <si>
    <t>Total versé</t>
  </si>
  <si>
    <t>Reste</t>
  </si>
  <si>
    <t>Famille</t>
  </si>
  <si>
    <t>Isolé</t>
  </si>
  <si>
    <t>Non cadres</t>
  </si>
  <si>
    <t>Cadres</t>
  </si>
  <si>
    <t>Prévoyance TA</t>
  </si>
  <si>
    <t>Prévoyance TB</t>
  </si>
  <si>
    <t>Mutuelle</t>
  </si>
  <si>
    <t>C</t>
  </si>
  <si>
    <t>TOTAL CADRES</t>
  </si>
  <si>
    <t>NC</t>
  </si>
  <si>
    <t>TOTAL NON CADRES</t>
  </si>
  <si>
    <t>TOTAL CADRES ET NON CADRES</t>
  </si>
  <si>
    <t>NC C. PROF</t>
  </si>
  <si>
    <t>TOTAL SOCIETE</t>
  </si>
  <si>
    <t>PREVOYANCE</t>
  </si>
  <si>
    <t>POLE EMPLOI</t>
  </si>
  <si>
    <t>RETRAITE</t>
  </si>
  <si>
    <t>Retraite TB NC</t>
  </si>
  <si>
    <t>AGFF TB NC</t>
  </si>
  <si>
    <t>GMP</t>
  </si>
  <si>
    <t>CADRES</t>
  </si>
  <si>
    <t>NON CADRES</t>
  </si>
  <si>
    <t>KIEFFER</t>
  </si>
  <si>
    <t>Stéphanie</t>
  </si>
  <si>
    <t>CDI</t>
  </si>
  <si>
    <t>SAING</t>
  </si>
  <si>
    <t>MONIER</t>
  </si>
  <si>
    <t>MOATTI</t>
  </si>
  <si>
    <t>APP</t>
  </si>
  <si>
    <t>LABAJ</t>
  </si>
  <si>
    <t>PRO</t>
  </si>
  <si>
    <t>NAKACHE</t>
  </si>
  <si>
    <t>AMSELEM</t>
  </si>
  <si>
    <t>Taux AT apprenti</t>
  </si>
  <si>
    <t>CONTRAT APPRENTISSAGE</t>
  </si>
  <si>
    <t>BASE FORFAITAIRE</t>
  </si>
  <si>
    <t>(cf. tableau interm.)</t>
  </si>
  <si>
    <t>VERIFICATION BASE FORFAITAIRE APPRENTIS</t>
  </si>
  <si>
    <t>SMIC au 1er janvier</t>
  </si>
  <si>
    <t>SMIC au 1er juillet</t>
  </si>
  <si>
    <t>Base forfaitaire apprentie : TOUJOURS 169 h. , quelle que soit l'horaire collectif et l'horaire effectué</t>
  </si>
  <si>
    <t>SEULES les colonnes B /  F et H doivent être renseignées (vérifier éventuellement la colonne C)</t>
  </si>
  <si>
    <t>Rémunération</t>
  </si>
  <si>
    <t>Rémunation</t>
  </si>
  <si>
    <t>Base fftaire</t>
  </si>
  <si>
    <t>Nbre absences</t>
  </si>
  <si>
    <t>Base cotisé</t>
  </si>
  <si>
    <t>Ecart</t>
  </si>
  <si>
    <t>% SMIC</t>
  </si>
  <si>
    <t>avec absences</t>
  </si>
  <si>
    <t xml:space="preserve">janvier 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</si>
  <si>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</si>
  <si>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</si>
  <si>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</si>
  <si>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</si>
  <si>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</si>
  <si>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</si>
  <si>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</si>
  <si>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</si>
  <si>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</si>
  <si>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</si>
  <si>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</si>
  <si>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Base forfaitaire à déclarer sur le bordereau annuel :</t>
  </si>
  <si>
    <t>B</t>
  </si>
  <si>
    <t>F</t>
  </si>
  <si>
    <t>H</t>
  </si>
  <si>
    <t>TOTAL APPRENTISSAGE</t>
  </si>
  <si>
    <t>Prévoyance APPRENTIS</t>
  </si>
  <si>
    <t>DU 01/01/09 AU 30/06/09</t>
  </si>
  <si>
    <t xml:space="preserve">SMIC MENSUEL </t>
  </si>
  <si>
    <t>SMIC MENSUEL 1,6</t>
  </si>
  <si>
    <t>MOIS</t>
  </si>
  <si>
    <t>NOM</t>
  </si>
  <si>
    <t>BRUT TOTAL</t>
  </si>
  <si>
    <t>Mtt HS</t>
  </si>
  <si>
    <t>BRUT hors HS</t>
  </si>
  <si>
    <t>Horaire W</t>
  </si>
  <si>
    <t>Sal Horaire</t>
  </si>
  <si>
    <t xml:space="preserve">Coef </t>
  </si>
  <si>
    <t>Coef</t>
  </si>
  <si>
    <t>Réduction</t>
  </si>
  <si>
    <t>A COMPTER DU 01/07/09</t>
  </si>
  <si>
    <t>Aout</t>
  </si>
  <si>
    <t>Sept</t>
  </si>
  <si>
    <t>Oct</t>
  </si>
  <si>
    <t>Nov</t>
  </si>
  <si>
    <t>Dec</t>
  </si>
  <si>
    <t>!!!!!!!!!!!</t>
  </si>
  <si>
    <t>ok</t>
  </si>
  <si>
    <t>TOTAL FILLON</t>
  </si>
  <si>
    <t>Paie</t>
  </si>
  <si>
    <t>Ecart paie</t>
  </si>
  <si>
    <t>imputé sur bulletin Kieffer de décembre</t>
  </si>
  <si>
    <t>Heures apprentissage non soumis à réduction salariales H.S.:</t>
  </si>
  <si>
    <t>Heures</t>
  </si>
</sst>
</file>

<file path=xl/styles.xml><?xml version="1.0" encoding="utf-8"?>
<styleSheet xmlns="http://schemas.openxmlformats.org/spreadsheetml/2006/main">
  <numFmts count="6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0%"/>
    <numFmt numFmtId="165" formatCode="_-* #,##0\ _€_-;\-* #,##0\ _€_-;_-* &quot;-&quot;??\ _€_-;_-@_-"/>
    <numFmt numFmtId="166" formatCode="0.0000000"/>
    <numFmt numFmtId="167" formatCode="0.000"/>
  </numFmts>
  <fonts count="14">
    <font>
      <sz val="10"/>
      <name val="Arial"/>
    </font>
    <font>
      <sz val="10"/>
      <name val="Arial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8"/>
      <color indexed="8"/>
      <name val="Arial"/>
      <family val="2"/>
    </font>
    <font>
      <i/>
      <sz val="10"/>
      <name val="Arial"/>
      <family val="2"/>
    </font>
    <font>
      <b/>
      <i/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i/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80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10" fontId="0" fillId="0" borderId="0" xfId="3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 textRotation="255"/>
    </xf>
    <xf numFmtId="0" fontId="0" fillId="0" borderId="0" xfId="0" applyBorder="1" applyAlignment="1">
      <alignment horizontal="center" vertical="center" textRotation="255"/>
    </xf>
    <xf numFmtId="0" fontId="0" fillId="0" borderId="0" xfId="0" applyFill="1" applyBorder="1"/>
    <xf numFmtId="0" fontId="0" fillId="0" borderId="1" xfId="0" applyBorder="1"/>
    <xf numFmtId="10" fontId="0" fillId="0" borderId="2" xfId="3" applyNumberFormat="1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/>
    <xf numFmtId="9" fontId="0" fillId="0" borderId="2" xfId="3" applyFont="1" applyBorder="1" applyAlignment="1">
      <alignment horizontal="center"/>
    </xf>
    <xf numFmtId="165" fontId="0" fillId="0" borderId="8" xfId="1" applyNumberFormat="1" applyFont="1" applyFill="1" applyBorder="1"/>
    <xf numFmtId="165" fontId="0" fillId="0" borderId="1" xfId="1" applyNumberFormat="1" applyFont="1" applyBorder="1"/>
    <xf numFmtId="165" fontId="0" fillId="0" borderId="8" xfId="1" applyNumberFormat="1" applyFont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5" fontId="0" fillId="0" borderId="12" xfId="1" applyNumberFormat="1" applyFont="1" applyBorder="1"/>
    <xf numFmtId="165" fontId="0" fillId="2" borderId="3" xfId="1" applyNumberFormat="1" applyFont="1" applyFill="1" applyBorder="1"/>
    <xf numFmtId="165" fontId="0" fillId="0" borderId="3" xfId="1" applyNumberFormat="1" applyFont="1" applyBorder="1"/>
    <xf numFmtId="165" fontId="0" fillId="0" borderId="0" xfId="1" applyNumberFormat="1" applyFont="1"/>
    <xf numFmtId="165" fontId="0" fillId="0" borderId="0" xfId="1" applyNumberFormat="1" applyFont="1" applyBorder="1"/>
    <xf numFmtId="3" fontId="5" fillId="0" borderId="0" xfId="0" applyNumberFormat="1" applyFont="1" applyAlignment="1">
      <alignment horizontal="center"/>
    </xf>
    <xf numFmtId="3" fontId="0" fillId="0" borderId="0" xfId="0" applyNumberFormat="1"/>
    <xf numFmtId="3" fontId="5" fillId="0" borderId="0" xfId="0" applyNumberFormat="1" applyFont="1"/>
    <xf numFmtId="3" fontId="0" fillId="0" borderId="0" xfId="0" applyNumberFormat="1" applyAlignment="1">
      <alignment horizontal="right"/>
    </xf>
    <xf numFmtId="10" fontId="0" fillId="0" borderId="0" xfId="3" applyNumberFormat="1" applyFont="1" applyFill="1" applyBorder="1" applyAlignment="1">
      <alignment horizontal="center"/>
    </xf>
    <xf numFmtId="3" fontId="5" fillId="3" borderId="0" xfId="0" applyNumberFormat="1" applyFont="1" applyFill="1" applyAlignment="1">
      <alignment horizontal="center" vertical="center"/>
    </xf>
    <xf numFmtId="43" fontId="7" fillId="2" borderId="6" xfId="1" applyFont="1" applyFill="1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2" xfId="0" applyBorder="1"/>
    <xf numFmtId="10" fontId="0" fillId="4" borderId="0" xfId="3" applyNumberFormat="1" applyFont="1" applyFill="1" applyBorder="1" applyAlignment="1">
      <alignment horizontal="center"/>
    </xf>
    <xf numFmtId="0" fontId="0" fillId="4" borderId="0" xfId="0" applyFill="1"/>
    <xf numFmtId="165" fontId="0" fillId="0" borderId="0" xfId="1" applyNumberFormat="1" applyFont="1" applyFill="1" applyBorder="1"/>
    <xf numFmtId="0" fontId="0" fillId="0" borderId="16" xfId="0" applyBorder="1"/>
    <xf numFmtId="0" fontId="0" fillId="0" borderId="17" xfId="0" applyBorder="1"/>
    <xf numFmtId="0" fontId="0" fillId="0" borderId="18" xfId="0" applyFill="1" applyBorder="1"/>
    <xf numFmtId="0" fontId="0" fillId="0" borderId="17" xfId="0" applyBorder="1" applyAlignment="1">
      <alignment horizontal="justify" vertical="justify"/>
    </xf>
    <xf numFmtId="4" fontId="0" fillId="0" borderId="0" xfId="3" applyNumberFormat="1" applyFont="1" applyFill="1" applyBorder="1" applyAlignment="1">
      <alignment horizontal="center"/>
    </xf>
    <xf numFmtId="165" fontId="0" fillId="0" borderId="0" xfId="0" applyNumberFormat="1"/>
    <xf numFmtId="10" fontId="0" fillId="0" borderId="19" xfId="3" applyNumberFormat="1" applyFont="1" applyBorder="1" applyAlignment="1">
      <alignment horizontal="center"/>
    </xf>
    <xf numFmtId="165" fontId="0" fillId="0" borderId="20" xfId="1" applyNumberFormat="1" applyFont="1" applyBorder="1"/>
    <xf numFmtId="165" fontId="0" fillId="0" borderId="21" xfId="1" applyNumberFormat="1" applyFont="1" applyBorder="1"/>
    <xf numFmtId="0" fontId="0" fillId="0" borderId="20" xfId="0" applyBorder="1"/>
    <xf numFmtId="10" fontId="0" fillId="0" borderId="22" xfId="3" applyNumberFormat="1" applyFont="1" applyBorder="1" applyAlignment="1">
      <alignment horizontal="center"/>
    </xf>
    <xf numFmtId="165" fontId="0" fillId="2" borderId="23" xfId="1" applyNumberFormat="1" applyFont="1" applyFill="1" applyBorder="1"/>
    <xf numFmtId="165" fontId="0" fillId="0" borderId="24" xfId="1" applyNumberFormat="1" applyFont="1" applyBorder="1"/>
    <xf numFmtId="165" fontId="0" fillId="0" borderId="23" xfId="1" applyNumberFormat="1" applyFont="1" applyBorder="1"/>
    <xf numFmtId="0" fontId="6" fillId="0" borderId="10" xfId="0" applyFont="1" applyBorder="1" applyAlignment="1">
      <alignment horizontal="center"/>
    </xf>
    <xf numFmtId="10" fontId="0" fillId="0" borderId="25" xfId="3" applyNumberFormat="1" applyFont="1" applyBorder="1" applyAlignment="1">
      <alignment horizontal="center"/>
    </xf>
    <xf numFmtId="43" fontId="0" fillId="0" borderId="19" xfId="1" applyFont="1" applyBorder="1" applyAlignment="1">
      <alignment horizontal="center"/>
    </xf>
    <xf numFmtId="165" fontId="0" fillId="0" borderId="26" xfId="1" applyNumberFormat="1" applyFont="1" applyBorder="1"/>
    <xf numFmtId="0" fontId="6" fillId="0" borderId="17" xfId="0" applyFont="1" applyBorder="1"/>
    <xf numFmtId="165" fontId="0" fillId="0" borderId="1" xfId="1" applyNumberFormat="1" applyFont="1" applyFill="1" applyBorder="1"/>
    <xf numFmtId="0" fontId="0" fillId="0" borderId="0" xfId="0" applyFill="1"/>
    <xf numFmtId="165" fontId="0" fillId="5" borderId="1" xfId="1" applyNumberFormat="1" applyFont="1" applyFill="1" applyBorder="1"/>
    <xf numFmtId="3" fontId="0" fillId="0" borderId="0" xfId="0" applyNumberFormat="1" applyAlignment="1">
      <alignment horizontal="left"/>
    </xf>
    <xf numFmtId="43" fontId="0" fillId="0" borderId="0" xfId="1" applyFont="1"/>
    <xf numFmtId="164" fontId="0" fillId="0" borderId="0" xfId="3" applyNumberFormat="1" applyFont="1" applyAlignment="1">
      <alignment horizontal="center"/>
    </xf>
    <xf numFmtId="3" fontId="5" fillId="3" borderId="6" xfId="0" applyNumberFormat="1" applyFont="1" applyFill="1" applyBorder="1" applyAlignment="1">
      <alignment horizontal="center" vertical="center"/>
    </xf>
    <xf numFmtId="3" fontId="5" fillId="3" borderId="6" xfId="0" applyNumberFormat="1" applyFont="1" applyFill="1" applyBorder="1" applyAlignment="1">
      <alignment horizontal="center" vertical="center" wrapText="1"/>
    </xf>
    <xf numFmtId="0" fontId="8" fillId="6" borderId="27" xfId="0" applyNumberFormat="1" applyFont="1" applyFill="1" applyBorder="1" applyAlignment="1">
      <alignment horizontal="left" vertical="center"/>
    </xf>
    <xf numFmtId="3" fontId="6" fillId="0" borderId="6" xfId="0" applyNumberFormat="1" applyFont="1" applyFill="1" applyBorder="1" applyAlignment="1">
      <alignment horizontal="center" vertical="center"/>
    </xf>
    <xf numFmtId="4" fontId="8" fillId="7" borderId="27" xfId="0" applyNumberFormat="1" applyFont="1" applyFill="1" applyBorder="1" applyAlignment="1">
      <alignment horizontal="right" vertical="center"/>
    </xf>
    <xf numFmtId="4" fontId="6" fillId="0" borderId="6" xfId="0" applyNumberFormat="1" applyFont="1" applyBorder="1"/>
    <xf numFmtId="4" fontId="8" fillId="7" borderId="28" xfId="0" applyNumberFormat="1" applyFont="1" applyFill="1" applyBorder="1" applyAlignment="1">
      <alignment horizontal="right" vertical="center"/>
    </xf>
    <xf numFmtId="43" fontId="6" fillId="0" borderId="6" xfId="1" applyFont="1" applyBorder="1" applyAlignment="1">
      <alignment horizontal="right"/>
    </xf>
    <xf numFmtId="3" fontId="6" fillId="0" borderId="6" xfId="0" applyNumberFormat="1" applyFont="1" applyFill="1" applyBorder="1" applyAlignment="1">
      <alignment horizontal="center" vertical="center" wrapText="1"/>
    </xf>
    <xf numFmtId="0" fontId="8" fillId="6" borderId="6" xfId="0" applyNumberFormat="1" applyFont="1" applyFill="1" applyBorder="1" applyAlignment="1">
      <alignment horizontal="left" vertical="center"/>
    </xf>
    <xf numFmtId="4" fontId="8" fillId="7" borderId="6" xfId="0" applyNumberFormat="1" applyFont="1" applyFill="1" applyBorder="1" applyAlignment="1">
      <alignment horizontal="right" vertical="center"/>
    </xf>
    <xf numFmtId="4" fontId="8" fillId="7" borderId="29" xfId="0" applyNumberFormat="1" applyFont="1" applyFill="1" applyBorder="1" applyAlignment="1">
      <alignment horizontal="right" vertical="center"/>
    </xf>
    <xf numFmtId="0" fontId="8" fillId="6" borderId="30" xfId="0" applyNumberFormat="1" applyFont="1" applyFill="1" applyBorder="1" applyAlignment="1">
      <alignment horizontal="left" vertical="center"/>
    </xf>
    <xf numFmtId="4" fontId="8" fillId="7" borderId="31" xfId="0" applyNumberFormat="1" applyFont="1" applyFill="1" applyBorder="1" applyAlignment="1">
      <alignment horizontal="right" vertical="center"/>
    </xf>
    <xf numFmtId="4" fontId="8" fillId="7" borderId="32" xfId="0" applyNumberFormat="1" applyFont="1" applyFill="1" applyBorder="1" applyAlignment="1">
      <alignment horizontal="right" vertical="center"/>
    </xf>
    <xf numFmtId="0" fontId="6" fillId="0" borderId="0" xfId="0" applyFont="1"/>
    <xf numFmtId="43" fontId="6" fillId="2" borderId="6" xfId="1" applyFont="1" applyFill="1" applyBorder="1"/>
    <xf numFmtId="43" fontId="6" fillId="0" borderId="6" xfId="1" applyFont="1" applyFill="1" applyBorder="1"/>
    <xf numFmtId="43" fontId="6" fillId="0" borderId="6" xfId="1" applyFont="1" applyBorder="1"/>
    <xf numFmtId="0" fontId="5" fillId="0" borderId="0" xfId="0" applyFont="1"/>
    <xf numFmtId="43" fontId="7" fillId="8" borderId="6" xfId="1" applyFont="1" applyFill="1" applyBorder="1"/>
    <xf numFmtId="0" fontId="5" fillId="0" borderId="0" xfId="0" applyFont="1" applyFill="1"/>
    <xf numFmtId="4" fontId="6" fillId="0" borderId="6" xfId="0" applyNumberFormat="1" applyFont="1" applyFill="1" applyBorder="1" applyAlignment="1">
      <alignment horizontal="center"/>
    </xf>
    <xf numFmtId="0" fontId="6" fillId="0" borderId="0" xfId="0" applyFont="1" applyFill="1"/>
    <xf numFmtId="43" fontId="7" fillId="4" borderId="6" xfId="1" applyFont="1" applyFill="1" applyBorder="1"/>
    <xf numFmtId="4" fontId="7" fillId="0" borderId="0" xfId="0" applyNumberFormat="1" applyFont="1" applyFill="1" applyBorder="1" applyAlignment="1">
      <alignment horizontal="center"/>
    </xf>
    <xf numFmtId="43" fontId="7" fillId="0" borderId="0" xfId="1" applyFont="1" applyFill="1" applyBorder="1"/>
    <xf numFmtId="165" fontId="0" fillId="0" borderId="25" xfId="1" applyNumberFormat="1" applyFont="1" applyBorder="1"/>
    <xf numFmtId="0" fontId="0" fillId="0" borderId="25" xfId="0" applyBorder="1"/>
    <xf numFmtId="165" fontId="0" fillId="0" borderId="25" xfId="1" applyNumberFormat="1" applyFont="1" applyFill="1" applyBorder="1"/>
    <xf numFmtId="0" fontId="0" fillId="0" borderId="33" xfId="0" applyBorder="1"/>
    <xf numFmtId="3" fontId="6" fillId="7" borderId="6" xfId="0" applyNumberFormat="1" applyFont="1" applyFill="1" applyBorder="1" applyAlignment="1">
      <alignment horizontal="center" vertical="center"/>
    </xf>
    <xf numFmtId="3" fontId="6" fillId="7" borderId="6" xfId="0" applyNumberFormat="1" applyFont="1" applyFill="1" applyBorder="1" applyAlignment="1">
      <alignment horizontal="center" vertical="center" wrapText="1"/>
    </xf>
    <xf numFmtId="0" fontId="8" fillId="6" borderId="50" xfId="0" applyNumberFormat="1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9" fillId="0" borderId="10" xfId="0" applyFont="1" applyBorder="1" applyAlignment="1">
      <alignment horizontal="center"/>
    </xf>
    <xf numFmtId="43" fontId="7" fillId="9" borderId="6" xfId="1" applyFont="1" applyFill="1" applyBorder="1"/>
    <xf numFmtId="0" fontId="8" fillId="6" borderId="19" xfId="0" applyNumberFormat="1" applyFont="1" applyFill="1" applyBorder="1" applyAlignment="1">
      <alignment horizontal="left" vertical="center"/>
    </xf>
    <xf numFmtId="3" fontId="6" fillId="0" borderId="31" xfId="0" applyNumberFormat="1" applyFont="1" applyFill="1" applyBorder="1" applyAlignment="1">
      <alignment horizontal="center" vertical="center"/>
    </xf>
    <xf numFmtId="4" fontId="6" fillId="0" borderId="31" xfId="0" applyNumberFormat="1" applyFont="1" applyBorder="1"/>
    <xf numFmtId="4" fontId="8" fillId="7" borderId="51" xfId="0" applyNumberFormat="1" applyFont="1" applyFill="1" applyBorder="1" applyAlignment="1">
      <alignment horizontal="right" vertical="center"/>
    </xf>
    <xf numFmtId="43" fontId="10" fillId="9" borderId="6" xfId="1" applyFont="1" applyFill="1" applyBorder="1"/>
    <xf numFmtId="0" fontId="0" fillId="2" borderId="0" xfId="0" applyFill="1"/>
    <xf numFmtId="0" fontId="0" fillId="2" borderId="31" xfId="0" applyFill="1" applyBorder="1"/>
    <xf numFmtId="0" fontId="0" fillId="0" borderId="31" xfId="0" applyBorder="1"/>
    <xf numFmtId="0" fontId="0" fillId="0" borderId="31" xfId="0" applyBorder="1" applyAlignment="1">
      <alignment horizontal="center"/>
    </xf>
    <xf numFmtId="0" fontId="0" fillId="2" borderId="19" xfId="0" applyFill="1" applyBorder="1"/>
    <xf numFmtId="0" fontId="0" fillId="0" borderId="50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2" borderId="31" xfId="0" applyFill="1" applyBorder="1" applyAlignment="1">
      <alignment horizontal="center"/>
    </xf>
    <xf numFmtId="43" fontId="0" fillId="0" borderId="19" xfId="1" applyFont="1" applyBorder="1"/>
    <xf numFmtId="165" fontId="0" fillId="0" borderId="31" xfId="1" applyNumberFormat="1" applyFont="1" applyBorder="1"/>
    <xf numFmtId="165" fontId="0" fillId="2" borderId="31" xfId="1" applyNumberFormat="1" applyFont="1" applyFill="1" applyBorder="1" applyAlignment="1"/>
    <xf numFmtId="165" fontId="6" fillId="0" borderId="31" xfId="1" applyNumberFormat="1" applyFont="1" applyBorder="1"/>
    <xf numFmtId="165" fontId="6" fillId="2" borderId="31" xfId="1" applyNumberFormat="1" applyFont="1" applyFill="1" applyBorder="1"/>
    <xf numFmtId="165" fontId="6" fillId="0" borderId="31" xfId="0" applyNumberFormat="1" applyFont="1" applyBorder="1" applyAlignment="1">
      <alignment horizontal="center"/>
    </xf>
    <xf numFmtId="0" fontId="0" fillId="2" borderId="19" xfId="0" applyFill="1" applyBorder="1" applyAlignment="1">
      <alignment horizontal="center"/>
    </xf>
    <xf numFmtId="165" fontId="0" fillId="0" borderId="19" xfId="1" applyNumberFormat="1" applyFont="1" applyBorder="1"/>
    <xf numFmtId="165" fontId="0" fillId="2" borderId="19" xfId="1" applyNumberFormat="1" applyFont="1" applyFill="1" applyBorder="1" applyAlignment="1"/>
    <xf numFmtId="165" fontId="6" fillId="0" borderId="19" xfId="1" applyNumberFormat="1" applyFont="1" applyBorder="1"/>
    <xf numFmtId="165" fontId="6" fillId="2" borderId="19" xfId="1" applyNumberFormat="1" applyFont="1" applyFill="1" applyBorder="1"/>
    <xf numFmtId="165" fontId="6" fillId="0" borderId="19" xfId="0" applyNumberFormat="1" applyFont="1" applyBorder="1" applyAlignment="1">
      <alignment horizontal="center"/>
    </xf>
    <xf numFmtId="0" fontId="0" fillId="2" borderId="50" xfId="0" applyFill="1" applyBorder="1" applyAlignment="1">
      <alignment horizontal="center"/>
    </xf>
    <xf numFmtId="43" fontId="0" fillId="0" borderId="50" xfId="1" applyFont="1" applyBorder="1"/>
    <xf numFmtId="165" fontId="0" fillId="0" borderId="50" xfId="1" applyNumberFormat="1" applyFont="1" applyBorder="1"/>
    <xf numFmtId="165" fontId="0" fillId="2" borderId="50" xfId="1" applyNumberFormat="1" applyFont="1" applyFill="1" applyBorder="1" applyAlignment="1"/>
    <xf numFmtId="165" fontId="6" fillId="0" borderId="50" xfId="1" applyNumberFormat="1" applyFont="1" applyBorder="1"/>
    <xf numFmtId="165" fontId="6" fillId="2" borderId="50" xfId="1" applyNumberFormat="1" applyFont="1" applyFill="1" applyBorder="1"/>
    <xf numFmtId="165" fontId="6" fillId="0" borderId="50" xfId="0" applyNumberFormat="1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165" fontId="5" fillId="0" borderId="48" xfId="0" applyNumberFormat="1" applyFont="1" applyBorder="1"/>
    <xf numFmtId="165" fontId="5" fillId="0" borderId="49" xfId="1" applyNumberFormat="1" applyFont="1" applyBorder="1" applyAlignment="1">
      <alignment horizontal="center"/>
    </xf>
    <xf numFmtId="165" fontId="5" fillId="0" borderId="0" xfId="0" applyNumberFormat="1" applyFont="1"/>
    <xf numFmtId="10" fontId="0" fillId="0" borderId="0" xfId="0" applyNumberFormat="1"/>
    <xf numFmtId="0" fontId="7" fillId="0" borderId="17" xfId="0" applyFont="1" applyBorder="1" applyAlignment="1">
      <alignment horizontal="justify" vertical="justify"/>
    </xf>
    <xf numFmtId="43" fontId="0" fillId="0" borderId="0" xfId="0" applyNumberFormat="1" applyBorder="1"/>
    <xf numFmtId="10" fontId="0" fillId="0" borderId="0" xfId="1" applyNumberFormat="1" applyFont="1" applyBorder="1" applyAlignment="1">
      <alignment horizontal="center"/>
    </xf>
    <xf numFmtId="0" fontId="5" fillId="0" borderId="47" xfId="0" applyFont="1" applyBorder="1"/>
    <xf numFmtId="0" fontId="5" fillId="0" borderId="49" xfId="0" applyFont="1" applyBorder="1"/>
    <xf numFmtId="0" fontId="11" fillId="0" borderId="0" xfId="0" applyFont="1"/>
    <xf numFmtId="4" fontId="0" fillId="0" borderId="0" xfId="0" applyNumberFormat="1"/>
    <xf numFmtId="0" fontId="12" fillId="0" borderId="6" xfId="0" applyFont="1" applyBorder="1"/>
    <xf numFmtId="0" fontId="12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11" fillId="0" borderId="19" xfId="0" applyFont="1" applyBorder="1"/>
    <xf numFmtId="4" fontId="0" fillId="0" borderId="26" xfId="0" applyNumberFormat="1" applyBorder="1"/>
    <xf numFmtId="166" fontId="6" fillId="0" borderId="53" xfId="0" applyNumberFormat="1" applyFont="1" applyBorder="1"/>
    <xf numFmtId="167" fontId="5" fillId="0" borderId="31" xfId="0" applyNumberFormat="1" applyFont="1" applyBorder="1"/>
    <xf numFmtId="4" fontId="0" fillId="0" borderId="52" xfId="0" applyNumberFormat="1" applyBorder="1"/>
    <xf numFmtId="166" fontId="6" fillId="0" borderId="26" xfId="0" applyNumberFormat="1" applyFont="1" applyBorder="1"/>
    <xf numFmtId="167" fontId="5" fillId="0" borderId="19" xfId="0" applyNumberFormat="1" applyFont="1" applyBorder="1"/>
    <xf numFmtId="4" fontId="0" fillId="0" borderId="25" xfId="0" applyNumberFormat="1" applyBorder="1"/>
    <xf numFmtId="0" fontId="12" fillId="0" borderId="19" xfId="0" applyFont="1" applyBorder="1"/>
    <xf numFmtId="4" fontId="5" fillId="0" borderId="26" xfId="0" applyNumberFormat="1" applyFont="1" applyBorder="1"/>
    <xf numFmtId="0" fontId="11" fillId="0" borderId="50" xfId="0" applyFont="1" applyBorder="1"/>
    <xf numFmtId="4" fontId="0" fillId="0" borderId="54" xfId="0" applyNumberFormat="1" applyBorder="1"/>
    <xf numFmtId="166" fontId="6" fillId="0" borderId="54" xfId="0" applyNumberFormat="1" applyFont="1" applyBorder="1"/>
    <xf numFmtId="167" fontId="5" fillId="0" borderId="50" xfId="0" applyNumberFormat="1" applyFont="1" applyBorder="1"/>
    <xf numFmtId="4" fontId="0" fillId="0" borderId="55" xfId="0" applyNumberFormat="1" applyBorder="1"/>
    <xf numFmtId="4" fontId="6" fillId="0" borderId="0" xfId="0" applyNumberFormat="1" applyFont="1"/>
    <xf numFmtId="4" fontId="5" fillId="0" borderId="0" xfId="0" applyNumberFormat="1" applyFont="1"/>
    <xf numFmtId="0" fontId="5" fillId="10" borderId="56" xfId="0" applyFont="1" applyFill="1" applyBorder="1"/>
    <xf numFmtId="0" fontId="5" fillId="10" borderId="57" xfId="0" applyFont="1" applyFill="1" applyBorder="1"/>
    <xf numFmtId="4" fontId="5" fillId="10" borderId="58" xfId="0" applyNumberFormat="1" applyFont="1" applyFill="1" applyBorder="1"/>
    <xf numFmtId="0" fontId="13" fillId="0" borderId="0" xfId="0" applyFont="1"/>
    <xf numFmtId="165" fontId="0" fillId="2" borderId="1" xfId="1" applyNumberFormat="1" applyFont="1" applyFill="1" applyBorder="1"/>
    <xf numFmtId="0" fontId="5" fillId="10" borderId="36" xfId="0" applyFont="1" applyFill="1" applyBorder="1"/>
    <xf numFmtId="9" fontId="5" fillId="10" borderId="59" xfId="3" applyFont="1" applyFill="1" applyBorder="1" applyAlignment="1">
      <alignment horizontal="center"/>
    </xf>
    <xf numFmtId="165" fontId="5" fillId="10" borderId="16" xfId="0" applyNumberFormat="1" applyFont="1" applyFill="1" applyBorder="1"/>
    <xf numFmtId="0" fontId="5" fillId="10" borderId="38" xfId="0" applyFont="1" applyFill="1" applyBorder="1"/>
    <xf numFmtId="9" fontId="5" fillId="10" borderId="60" xfId="3" applyFont="1" applyFill="1" applyBorder="1" applyAlignment="1">
      <alignment horizontal="center"/>
    </xf>
    <xf numFmtId="165" fontId="5" fillId="10" borderId="18" xfId="0" applyNumberFormat="1" applyFont="1" applyFill="1" applyBorder="1"/>
    <xf numFmtId="0" fontId="5" fillId="0" borderId="0" xfId="0" applyFont="1" applyFill="1" applyBorder="1"/>
    <xf numFmtId="9" fontId="5" fillId="0" borderId="0" xfId="3" applyFont="1" applyFill="1" applyBorder="1" applyAlignment="1">
      <alignment horizontal="center"/>
    </xf>
    <xf numFmtId="165" fontId="5" fillId="0" borderId="0" xfId="0" applyNumberFormat="1" applyFont="1" applyFill="1" applyBorder="1"/>
    <xf numFmtId="0" fontId="0" fillId="0" borderId="62" xfId="0" applyBorder="1"/>
    <xf numFmtId="0" fontId="0" fillId="0" borderId="50" xfId="0" applyBorder="1" applyAlignment="1">
      <alignment horizontal="center"/>
    </xf>
    <xf numFmtId="0" fontId="0" fillId="0" borderId="63" xfId="0" applyBorder="1"/>
    <xf numFmtId="0" fontId="0" fillId="0" borderId="24" xfId="0" applyBorder="1"/>
    <xf numFmtId="0" fontId="0" fillId="0" borderId="22" xfId="0" applyBorder="1" applyAlignment="1">
      <alignment horizontal="center"/>
    </xf>
    <xf numFmtId="0" fontId="0" fillId="0" borderId="23" xfId="0" applyBorder="1"/>
    <xf numFmtId="44" fontId="7" fillId="0" borderId="47" xfId="2" applyFont="1" applyBorder="1"/>
    <xf numFmtId="0" fontId="7" fillId="0" borderId="47" xfId="0" applyFont="1" applyBorder="1"/>
    <xf numFmtId="0" fontId="7" fillId="0" borderId="49" xfId="0" applyFont="1" applyBorder="1"/>
    <xf numFmtId="165" fontId="6" fillId="0" borderId="1" xfId="1" applyNumberFormat="1" applyFont="1" applyBorder="1"/>
    <xf numFmtId="0" fontId="0" fillId="0" borderId="72" xfId="0" applyBorder="1"/>
    <xf numFmtId="165" fontId="0" fillId="0" borderId="73" xfId="1" applyNumberFormat="1" applyFont="1" applyBorder="1"/>
    <xf numFmtId="0" fontId="0" fillId="0" borderId="75" xfId="0" applyBorder="1"/>
    <xf numFmtId="0" fontId="0" fillId="0" borderId="76" xfId="0" applyBorder="1"/>
    <xf numFmtId="165" fontId="0" fillId="0" borderId="37" xfId="1" applyNumberFormat="1" applyFont="1" applyBorder="1"/>
    <xf numFmtId="165" fontId="0" fillId="0" borderId="77" xfId="1" applyNumberFormat="1" applyFont="1" applyBorder="1"/>
    <xf numFmtId="165" fontId="0" fillId="0" borderId="78" xfId="1" applyNumberFormat="1" applyFont="1" applyBorder="1"/>
    <xf numFmtId="165" fontId="0" fillId="0" borderId="38" xfId="1" applyNumberFormat="1" applyFont="1" applyBorder="1"/>
    <xf numFmtId="165" fontId="0" fillId="0" borderId="79" xfId="1" applyNumberFormat="1" applyFont="1" applyBorder="1"/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6" fillId="0" borderId="36" xfId="0" applyFont="1" applyBorder="1" applyAlignment="1">
      <alignment horizontal="justify" vertical="justify" textRotation="255"/>
    </xf>
    <xf numFmtId="0" fontId="0" fillId="0" borderId="37" xfId="0" applyBorder="1"/>
    <xf numFmtId="0" fontId="0" fillId="0" borderId="38" xfId="0" applyBorder="1"/>
    <xf numFmtId="0" fontId="0" fillId="0" borderId="39" xfId="0" applyBorder="1" applyAlignment="1">
      <alignment horizontal="center"/>
    </xf>
    <xf numFmtId="3" fontId="5" fillId="3" borderId="0" xfId="0" applyNumberFormat="1" applyFont="1" applyFill="1" applyAlignment="1">
      <alignment horizontal="center" vertical="center"/>
    </xf>
    <xf numFmtId="4" fontId="7" fillId="4" borderId="6" xfId="0" applyNumberFormat="1" applyFont="1" applyFill="1" applyBorder="1" applyAlignment="1">
      <alignment horizontal="center"/>
    </xf>
    <xf numFmtId="0" fontId="6" fillId="0" borderId="36" xfId="0" applyFont="1" applyBorder="1" applyAlignment="1">
      <alignment horizontal="center" vertical="center" textRotation="255" wrapText="1"/>
    </xf>
    <xf numFmtId="0" fontId="0" fillId="0" borderId="37" xfId="0" applyBorder="1" applyAlignment="1">
      <alignment horizontal="center" vertical="center" textRotation="255" wrapText="1"/>
    </xf>
    <xf numFmtId="0" fontId="0" fillId="0" borderId="38" xfId="0" applyBorder="1" applyAlignment="1">
      <alignment horizontal="center" vertical="center" textRotation="255" wrapText="1"/>
    </xf>
    <xf numFmtId="0" fontId="0" fillId="0" borderId="67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71" xfId="0" applyBorder="1" applyAlignment="1">
      <alignment horizontal="center"/>
    </xf>
    <xf numFmtId="0" fontId="0" fillId="0" borderId="43" xfId="0" applyBorder="1" applyAlignment="1">
      <alignment horizontal="center" vertical="center" textRotation="255"/>
    </xf>
    <xf numFmtId="0" fontId="0" fillId="0" borderId="44" xfId="0" applyBorder="1" applyAlignment="1">
      <alignment horizontal="center" vertical="center" textRotation="255"/>
    </xf>
    <xf numFmtId="0" fontId="0" fillId="0" borderId="45" xfId="0" applyBorder="1" applyAlignment="1">
      <alignment horizontal="center" vertical="center" textRotation="255"/>
    </xf>
    <xf numFmtId="0" fontId="0" fillId="0" borderId="28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46" xfId="0" applyBorder="1" applyAlignment="1">
      <alignment horizontal="center" vertical="center" textRotation="255" wrapText="1" shrinkToFit="1"/>
    </xf>
    <xf numFmtId="0" fontId="0" fillId="0" borderId="8" xfId="0" applyBorder="1" applyAlignment="1">
      <alignment horizontal="center" vertical="center" textRotation="255" wrapText="1" shrinkToFit="1"/>
    </xf>
    <xf numFmtId="0" fontId="0" fillId="0" borderId="12" xfId="0" applyBorder="1" applyAlignment="1">
      <alignment horizontal="center" vertical="center" textRotation="255" wrapText="1" shrinkToFit="1"/>
    </xf>
    <xf numFmtId="3" fontId="5" fillId="2" borderId="47" xfId="0" applyNumberFormat="1" applyFont="1" applyFill="1" applyBorder="1" applyAlignment="1">
      <alignment horizontal="center" vertical="center"/>
    </xf>
    <xf numFmtId="3" fontId="5" fillId="2" borderId="48" xfId="0" applyNumberFormat="1" applyFont="1" applyFill="1" applyBorder="1" applyAlignment="1">
      <alignment horizontal="center" vertical="center"/>
    </xf>
    <xf numFmtId="3" fontId="5" fillId="2" borderId="49" xfId="0" applyNumberFormat="1" applyFont="1" applyFill="1" applyBorder="1" applyAlignment="1">
      <alignment horizontal="center" vertical="center"/>
    </xf>
    <xf numFmtId="4" fontId="7" fillId="2" borderId="47" xfId="0" applyNumberFormat="1" applyFont="1" applyFill="1" applyBorder="1" applyAlignment="1">
      <alignment horizontal="center"/>
    </xf>
    <xf numFmtId="4" fontId="7" fillId="2" borderId="48" xfId="0" applyNumberFormat="1" applyFont="1" applyFill="1" applyBorder="1" applyAlignment="1">
      <alignment horizontal="center"/>
    </xf>
    <xf numFmtId="4" fontId="7" fillId="2" borderId="49" xfId="0" applyNumberFormat="1" applyFont="1" applyFill="1" applyBorder="1" applyAlignment="1">
      <alignment horizontal="center"/>
    </xf>
    <xf numFmtId="4" fontId="7" fillId="8" borderId="6" xfId="0" applyNumberFormat="1" applyFont="1" applyFill="1" applyBorder="1" applyAlignment="1">
      <alignment horizontal="center"/>
    </xf>
    <xf numFmtId="4" fontId="7" fillId="9" borderId="6" xfId="0" applyNumberFormat="1" applyFont="1" applyFill="1" applyBorder="1" applyAlignment="1">
      <alignment horizontal="center"/>
    </xf>
    <xf numFmtId="165" fontId="7" fillId="0" borderId="70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4"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95"/>
  <sheetViews>
    <sheetView tabSelected="1" workbookViewId="0">
      <selection sqref="A1:O93"/>
    </sheetView>
  </sheetViews>
  <sheetFormatPr baseColWidth="10" defaultRowHeight="12.75"/>
  <cols>
    <col min="1" max="1" width="19.42578125" customWidth="1"/>
    <col min="2" max="2" width="26.28515625" customWidth="1"/>
    <col min="3" max="3" width="12.28515625" customWidth="1"/>
    <col min="4" max="4" width="12.28515625" style="1" customWidth="1"/>
    <col min="5" max="7" width="12.28515625" customWidth="1"/>
    <col min="8" max="8" width="19.42578125" bestFit="1" customWidth="1"/>
    <col min="9" max="9" width="18.28515625" bestFit="1" customWidth="1"/>
    <col min="10" max="10" width="18.42578125" bestFit="1" customWidth="1"/>
    <col min="11" max="11" width="13.7109375" customWidth="1"/>
    <col min="12" max="12" width="19" bestFit="1" customWidth="1"/>
    <col min="13" max="13" width="13.5703125" customWidth="1"/>
    <col min="14" max="14" width="17.28515625" customWidth="1"/>
    <col min="15" max="15" width="13.140625" customWidth="1"/>
    <col min="16" max="16" width="11.5703125" customWidth="1"/>
  </cols>
  <sheetData>
    <row r="1" spans="1:16" s="28" customFormat="1" ht="21" customHeight="1">
      <c r="A1" s="209" t="s">
        <v>35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32"/>
      <c r="O1" s="27"/>
      <c r="P1" s="27"/>
    </row>
    <row r="2" spans="1:16">
      <c r="A2" s="29"/>
      <c r="B2" s="28" t="s">
        <v>72</v>
      </c>
      <c r="C2" t="s">
        <v>73</v>
      </c>
      <c r="K2" s="100" t="s">
        <v>18</v>
      </c>
      <c r="L2" s="100" t="s">
        <v>19</v>
      </c>
    </row>
    <row r="3" spans="1:16">
      <c r="A3" s="29" t="s">
        <v>18</v>
      </c>
      <c r="B3" s="63">
        <f>2859*12</f>
        <v>34308</v>
      </c>
      <c r="C3" s="63">
        <f>2859*12</f>
        <v>34308</v>
      </c>
      <c r="J3" t="s">
        <v>52</v>
      </c>
      <c r="M3" s="64">
        <v>0</v>
      </c>
    </row>
    <row r="4" spans="1:16">
      <c r="A4" s="29" t="s">
        <v>19</v>
      </c>
      <c r="B4" s="63">
        <f>+B3*4</f>
        <v>137232</v>
      </c>
      <c r="C4" s="63">
        <f>+C3*3</f>
        <v>102924</v>
      </c>
      <c r="J4" t="s">
        <v>53</v>
      </c>
      <c r="M4" s="64">
        <v>0</v>
      </c>
    </row>
    <row r="5" spans="1:16">
      <c r="A5" s="29" t="s">
        <v>20</v>
      </c>
      <c r="B5" s="63">
        <f>+B3*8</f>
        <v>274464</v>
      </c>
      <c r="C5" s="28"/>
      <c r="D5" s="30"/>
      <c r="E5" s="30"/>
      <c r="F5" s="28"/>
      <c r="G5" s="28"/>
      <c r="H5" s="28"/>
      <c r="I5" s="28"/>
      <c r="J5" s="28" t="s">
        <v>54</v>
      </c>
      <c r="K5" s="65">
        <v>4.0000000000000001E-3</v>
      </c>
      <c r="L5" s="65">
        <v>0</v>
      </c>
      <c r="M5" s="28"/>
    </row>
    <row r="6" spans="1:16">
      <c r="A6" s="29"/>
      <c r="B6" s="28"/>
      <c r="C6" s="28"/>
      <c r="D6" s="30"/>
      <c r="E6" s="30"/>
      <c r="F6" s="28"/>
      <c r="G6" s="28"/>
      <c r="H6" s="28"/>
      <c r="I6" s="28"/>
      <c r="J6" s="28" t="s">
        <v>55</v>
      </c>
      <c r="K6" s="65">
        <v>0</v>
      </c>
      <c r="L6" s="65">
        <v>0</v>
      </c>
      <c r="M6" s="28"/>
    </row>
    <row r="7" spans="1:16" ht="39" thickBot="1">
      <c r="A7" s="66" t="s">
        <v>21</v>
      </c>
      <c r="B7" s="66" t="s">
        <v>36</v>
      </c>
      <c r="C7" s="66" t="s">
        <v>22</v>
      </c>
      <c r="D7" s="66" t="s">
        <v>23</v>
      </c>
      <c r="E7" s="67" t="s">
        <v>24</v>
      </c>
      <c r="F7" s="67" t="s">
        <v>25</v>
      </c>
      <c r="G7" s="66" t="s">
        <v>26</v>
      </c>
      <c r="H7" s="66" t="s">
        <v>27</v>
      </c>
      <c r="I7" s="66" t="s">
        <v>18</v>
      </c>
      <c r="J7" s="66" t="s">
        <v>19</v>
      </c>
      <c r="K7" s="66" t="s">
        <v>20</v>
      </c>
      <c r="L7" s="67" t="s">
        <v>56</v>
      </c>
      <c r="M7" s="67" t="s">
        <v>57</v>
      </c>
      <c r="N7" s="67" t="s">
        <v>58</v>
      </c>
      <c r="O7" s="67" t="s">
        <v>28</v>
      </c>
    </row>
    <row r="8" spans="1:16" s="61" customFormat="1">
      <c r="A8" s="68"/>
      <c r="B8" s="68"/>
      <c r="C8" s="69"/>
      <c r="D8" s="69" t="s">
        <v>59</v>
      </c>
      <c r="E8" s="70"/>
      <c r="F8" s="70"/>
      <c r="G8" s="71"/>
      <c r="H8" s="72">
        <v>0</v>
      </c>
      <c r="I8" s="73">
        <f>+IF(H8&gt;+B$3/12*G8,B$3/12*G8,H8)</f>
        <v>0</v>
      </c>
      <c r="J8" s="97">
        <f>+IF(H8&gt;B$3/12*G8,IF(H8&gt;B$4*G8/12,(B$4-$B$3)*G8/12,H8-I8),0)</f>
        <v>0</v>
      </c>
      <c r="K8" s="98">
        <f>+IF(I8+J8&gt;H8,0,IF(H8&gt;$B$15*G8/12,$B$15*G8/12-$B$14*G8/12,H8-I8-J8))</f>
        <v>0</v>
      </c>
      <c r="L8" s="73">
        <f>$K$6*I8</f>
        <v>0</v>
      </c>
      <c r="M8" s="73">
        <f>$L$6*J8</f>
        <v>0</v>
      </c>
      <c r="N8" s="74"/>
      <c r="O8" s="74">
        <f>(H8+L8+M8+N8)*0.97</f>
        <v>0</v>
      </c>
    </row>
    <row r="9" spans="1:16" s="61" customFormat="1">
      <c r="A9" s="75"/>
      <c r="B9" s="75"/>
      <c r="C9" s="69"/>
      <c r="D9" s="69" t="s">
        <v>59</v>
      </c>
      <c r="E9" s="76"/>
      <c r="F9" s="76"/>
      <c r="G9" s="71">
        <f>E9*F9/151.67</f>
        <v>0</v>
      </c>
      <c r="H9" s="77"/>
      <c r="I9" s="73">
        <f>+IF(H9&gt;+B$3/12*G9,B$3/12*G9,H9)</f>
        <v>0</v>
      </c>
      <c r="J9" s="97">
        <f>+IF(H9&gt;B$3/12*G9,IF(H9&gt;B$4*G9/12,(B$4-$B$3)*G9/12,H9-I9),0)</f>
        <v>0</v>
      </c>
      <c r="K9" s="98">
        <f>+IF(I9+J9&gt;H9,0,IF(H9&gt;$B$15*G9/12,$B$15*G9/12-$B$14*G9/12,H9-I9-J9))</f>
        <v>0</v>
      </c>
      <c r="L9" s="73">
        <f>$K$6*I9</f>
        <v>0</v>
      </c>
      <c r="M9" s="73">
        <f>$L$6*J9</f>
        <v>0</v>
      </c>
      <c r="N9" s="74"/>
      <c r="O9" s="74">
        <f>(H9+L9+M9+N9)*0.97</f>
        <v>0</v>
      </c>
    </row>
    <row r="10" spans="1:16" s="81" customFormat="1" ht="13.5" thickBot="1">
      <c r="A10" s="78"/>
      <c r="B10" s="78"/>
      <c r="C10" s="69"/>
      <c r="D10" s="69" t="s">
        <v>59</v>
      </c>
      <c r="E10" s="79"/>
      <c r="F10" s="79"/>
      <c r="G10" s="71"/>
      <c r="H10" s="80"/>
      <c r="I10" s="73">
        <f>+IF(H10&gt;+B$3/12*G10,B$3/12*G10,H10)</f>
        <v>0</v>
      </c>
      <c r="J10" s="97">
        <f>+IF(H10&gt;B$3/12*G10,IF(H10&gt;B$4*G10/12,(B$4-$B$3)*G10/12,H10-I10),0)</f>
        <v>0</v>
      </c>
      <c r="K10" s="98">
        <f>+IF(I10+J10&gt;H10,0,IF(H10&gt;$B$15*G10/12,$B$15*G10/12-$B$14*G10/12,H10-I10-J10))</f>
        <v>0</v>
      </c>
      <c r="L10" s="73">
        <f>$K$6*I10</f>
        <v>0</v>
      </c>
      <c r="M10" s="73">
        <f>$L$6*J10</f>
        <v>0</v>
      </c>
      <c r="N10" s="74"/>
      <c r="O10" s="74">
        <f>(H10+L10+M10+N10)*0.97</f>
        <v>0</v>
      </c>
    </row>
    <row r="11" spans="1:16" ht="13.5" thickBot="1">
      <c r="A11" s="233" t="s">
        <v>60</v>
      </c>
      <c r="B11" s="234"/>
      <c r="C11" s="234"/>
      <c r="D11" s="234"/>
      <c r="E11" s="234"/>
      <c r="F11" s="234"/>
      <c r="G11" s="235"/>
      <c r="H11" s="82">
        <f t="shared" ref="H11:O11" si="0">SUM(H8:H10)</f>
        <v>0</v>
      </c>
      <c r="I11" s="82">
        <f>SUM(I8:I10)</f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82">
        <f t="shared" si="0"/>
        <v>0</v>
      </c>
      <c r="O11" s="82">
        <f t="shared" si="0"/>
        <v>0</v>
      </c>
    </row>
    <row r="12" spans="1:16" s="61" customFormat="1">
      <c r="A12" s="68" t="s">
        <v>74</v>
      </c>
      <c r="B12" s="68" t="s">
        <v>75</v>
      </c>
      <c r="C12" s="69" t="s">
        <v>76</v>
      </c>
      <c r="D12" s="69" t="s">
        <v>61</v>
      </c>
      <c r="E12" s="70">
        <v>151.66999999999999</v>
      </c>
      <c r="F12" s="70">
        <v>5</v>
      </c>
      <c r="G12" s="71">
        <f>IF(E12&gt;151.67,F12,E12*F12/151.67)</f>
        <v>5</v>
      </c>
      <c r="H12" s="72">
        <v>9271.06</v>
      </c>
      <c r="I12" s="73">
        <f>+IF(H12&gt;+C$3/12*G12,C$3/12*G12,H12)</f>
        <v>9271.06</v>
      </c>
      <c r="J12" s="97">
        <f t="shared" ref="J12:J19" si="1">+IF(H12&gt;C$3/12*G12,IF(H12&gt;C$4*G12/12,(C$4-$C$3)*G12/12,H12-I12),0)</f>
        <v>0</v>
      </c>
      <c r="K12" s="98"/>
      <c r="L12" s="73">
        <f t="shared" ref="L12:L19" si="2">$K$5*I12</f>
        <v>37.084240000000001</v>
      </c>
      <c r="M12" s="73">
        <f t="shared" ref="M12:M19" si="3">$L$5*J12</f>
        <v>0</v>
      </c>
      <c r="N12" s="83">
        <v>0</v>
      </c>
      <c r="O12" s="83">
        <f t="shared" ref="O12:O19" si="4">(H12+L12+M12+N12)*0.97</f>
        <v>9028.8999127999996</v>
      </c>
    </row>
    <row r="13" spans="1:16" s="61" customFormat="1">
      <c r="A13" s="75" t="s">
        <v>77</v>
      </c>
      <c r="B13" s="75"/>
      <c r="C13" s="69" t="s">
        <v>76</v>
      </c>
      <c r="D13" s="69" t="s">
        <v>61</v>
      </c>
      <c r="E13" s="76">
        <v>151.66999999999999</v>
      </c>
      <c r="F13" s="76">
        <v>2</v>
      </c>
      <c r="G13" s="71">
        <f t="shared" ref="G13:G19" si="5">IF(E13&gt;151.67,F13,E13*F13/151.67)</f>
        <v>2</v>
      </c>
      <c r="H13" s="77">
        <v>3967.55</v>
      </c>
      <c r="I13" s="73">
        <f t="shared" ref="I13:I19" si="6">+IF(H13&gt;+B$3/12*G13,B$3/12*G13,H13)</f>
        <v>3967.55</v>
      </c>
      <c r="J13" s="97">
        <f t="shared" si="1"/>
        <v>0</v>
      </c>
      <c r="K13" s="98"/>
      <c r="L13" s="73">
        <f t="shared" si="2"/>
        <v>15.870200000000001</v>
      </c>
      <c r="M13" s="73">
        <f t="shared" si="3"/>
        <v>0</v>
      </c>
      <c r="N13" s="83"/>
      <c r="O13" s="83">
        <f t="shared" si="4"/>
        <v>3863.917594</v>
      </c>
    </row>
    <row r="14" spans="1:16" s="81" customFormat="1" ht="13.5" thickBot="1">
      <c r="A14" s="78" t="s">
        <v>78</v>
      </c>
      <c r="B14" s="78"/>
      <c r="C14" s="69" t="s">
        <v>76</v>
      </c>
      <c r="D14" s="69" t="s">
        <v>61</v>
      </c>
      <c r="E14" s="79">
        <v>151.66999999999999</v>
      </c>
      <c r="F14" s="79">
        <v>4</v>
      </c>
      <c r="G14" s="71">
        <f t="shared" si="5"/>
        <v>4</v>
      </c>
      <c r="H14" s="80">
        <v>5128.47</v>
      </c>
      <c r="I14" s="73">
        <f t="shared" si="6"/>
        <v>5128.47</v>
      </c>
      <c r="J14" s="97">
        <f t="shared" si="1"/>
        <v>0</v>
      </c>
      <c r="K14" s="98"/>
      <c r="L14" s="73">
        <f t="shared" si="2"/>
        <v>20.51388</v>
      </c>
      <c r="M14" s="73">
        <f t="shared" si="3"/>
        <v>0</v>
      </c>
      <c r="N14" s="73"/>
      <c r="O14" s="83">
        <f t="shared" si="4"/>
        <v>4994.5143636000003</v>
      </c>
    </row>
    <row r="15" spans="1:16" s="81" customFormat="1" ht="13.5" thickBot="1">
      <c r="A15" s="68" t="s">
        <v>79</v>
      </c>
      <c r="B15" s="68"/>
      <c r="C15" s="69" t="s">
        <v>76</v>
      </c>
      <c r="D15" s="69" t="s">
        <v>61</v>
      </c>
      <c r="E15" s="79">
        <v>151.66999999999999</v>
      </c>
      <c r="F15" s="79">
        <v>1</v>
      </c>
      <c r="G15" s="71">
        <f t="shared" si="5"/>
        <v>1</v>
      </c>
      <c r="H15" s="72">
        <v>1604.78</v>
      </c>
      <c r="I15" s="73">
        <f t="shared" si="6"/>
        <v>1604.78</v>
      </c>
      <c r="J15" s="97">
        <f t="shared" si="1"/>
        <v>0</v>
      </c>
      <c r="K15" s="98"/>
      <c r="L15" s="73">
        <f t="shared" si="2"/>
        <v>6.4191200000000004</v>
      </c>
      <c r="M15" s="73">
        <f t="shared" si="3"/>
        <v>0</v>
      </c>
      <c r="N15" s="73"/>
      <c r="O15" s="83">
        <f t="shared" si="4"/>
        <v>1562.8631464</v>
      </c>
    </row>
    <row r="16" spans="1:16" s="81" customFormat="1" ht="13.5" thickBot="1">
      <c r="A16" s="99" t="s">
        <v>81</v>
      </c>
      <c r="B16" s="99"/>
      <c r="C16" s="69" t="s">
        <v>82</v>
      </c>
      <c r="D16" s="69" t="s">
        <v>61</v>
      </c>
      <c r="E16" s="79">
        <v>151.66999999999999</v>
      </c>
      <c r="F16" s="79">
        <v>3</v>
      </c>
      <c r="G16" s="71">
        <f t="shared" si="5"/>
        <v>3</v>
      </c>
      <c r="H16" s="72">
        <v>2899.98</v>
      </c>
      <c r="I16" s="73">
        <f t="shared" si="6"/>
        <v>2899.98</v>
      </c>
      <c r="J16" s="97">
        <f t="shared" si="1"/>
        <v>0</v>
      </c>
      <c r="K16" s="98"/>
      <c r="L16" s="73">
        <f t="shared" si="2"/>
        <v>11.599920000000001</v>
      </c>
      <c r="M16" s="73">
        <f t="shared" si="3"/>
        <v>0</v>
      </c>
      <c r="N16" s="73"/>
      <c r="O16" s="83">
        <f t="shared" si="4"/>
        <v>2824.2325224000001</v>
      </c>
    </row>
    <row r="17" spans="1:15" s="81" customFormat="1" ht="13.5" thickBot="1">
      <c r="A17" s="99" t="s">
        <v>83</v>
      </c>
      <c r="B17" s="99"/>
      <c r="C17" s="69" t="s">
        <v>76</v>
      </c>
      <c r="D17" s="69" t="s">
        <v>61</v>
      </c>
      <c r="E17" s="79">
        <v>151.66999999999999</v>
      </c>
      <c r="F17" s="79">
        <v>2.33</v>
      </c>
      <c r="G17" s="71">
        <f t="shared" si="5"/>
        <v>2.33</v>
      </c>
      <c r="H17" s="72">
        <v>3383.47</v>
      </c>
      <c r="I17" s="73">
        <f t="shared" si="6"/>
        <v>3383.47</v>
      </c>
      <c r="J17" s="97">
        <f t="shared" si="1"/>
        <v>0</v>
      </c>
      <c r="K17" s="98"/>
      <c r="L17" s="73">
        <f t="shared" si="2"/>
        <v>13.53388</v>
      </c>
      <c r="M17" s="73">
        <f t="shared" si="3"/>
        <v>0</v>
      </c>
      <c r="N17" s="73"/>
      <c r="O17" s="83">
        <f t="shared" si="4"/>
        <v>3295.0937635999999</v>
      </c>
    </row>
    <row r="18" spans="1:15" s="81" customFormat="1">
      <c r="A18" s="99" t="s">
        <v>84</v>
      </c>
      <c r="B18" s="99"/>
      <c r="C18" s="69" t="s">
        <v>76</v>
      </c>
      <c r="D18" s="69" t="s">
        <v>61</v>
      </c>
      <c r="E18" s="79">
        <v>151.66999999999999</v>
      </c>
      <c r="F18" s="79">
        <v>2.33</v>
      </c>
      <c r="G18" s="71">
        <f t="shared" si="5"/>
        <v>2.33</v>
      </c>
      <c r="H18" s="72">
        <v>3649.43</v>
      </c>
      <c r="I18" s="73">
        <f t="shared" si="6"/>
        <v>3649.43</v>
      </c>
      <c r="J18" s="97">
        <f t="shared" si="1"/>
        <v>0</v>
      </c>
      <c r="K18" s="98"/>
      <c r="L18" s="73">
        <f t="shared" si="2"/>
        <v>14.597719999999999</v>
      </c>
      <c r="M18" s="73">
        <f t="shared" si="3"/>
        <v>0</v>
      </c>
      <c r="N18" s="73"/>
      <c r="O18" s="83">
        <f t="shared" si="4"/>
        <v>3554.1068884000001</v>
      </c>
    </row>
    <row r="19" spans="1:15" s="81" customFormat="1">
      <c r="A19" s="69"/>
      <c r="B19" s="69"/>
      <c r="C19" s="69"/>
      <c r="D19" s="69"/>
      <c r="E19" s="79"/>
      <c r="F19" s="79"/>
      <c r="G19" s="71">
        <f t="shared" si="5"/>
        <v>0</v>
      </c>
      <c r="H19" s="84"/>
      <c r="I19" s="73">
        <f t="shared" si="6"/>
        <v>0</v>
      </c>
      <c r="J19" s="97">
        <f t="shared" si="1"/>
        <v>0</v>
      </c>
      <c r="K19" s="98"/>
      <c r="L19" s="73">
        <f t="shared" si="2"/>
        <v>0</v>
      </c>
      <c r="M19" s="73">
        <f t="shared" si="3"/>
        <v>0</v>
      </c>
      <c r="N19" s="73"/>
      <c r="O19" s="83">
        <f t="shared" si="4"/>
        <v>0</v>
      </c>
    </row>
    <row r="20" spans="1:15" s="85" customFormat="1" ht="15" customHeight="1">
      <c r="A20" s="236" t="s">
        <v>62</v>
      </c>
      <c r="B20" s="237"/>
      <c r="C20" s="237"/>
      <c r="D20" s="237"/>
      <c r="E20" s="237"/>
      <c r="F20" s="237"/>
      <c r="G20" s="238"/>
      <c r="H20" s="33">
        <f>SUM(H12:H19)</f>
        <v>29904.74</v>
      </c>
      <c r="I20" s="33">
        <f t="shared" ref="I20:O20" si="7">SUM(I12:I19)</f>
        <v>29904.74</v>
      </c>
      <c r="J20" s="33">
        <f t="shared" si="7"/>
        <v>0</v>
      </c>
      <c r="K20" s="33">
        <f t="shared" si="7"/>
        <v>0</v>
      </c>
      <c r="L20" s="33">
        <f t="shared" si="7"/>
        <v>119.61896</v>
      </c>
      <c r="M20" s="33">
        <f t="shared" si="7"/>
        <v>0</v>
      </c>
      <c r="N20" s="33">
        <f t="shared" si="7"/>
        <v>0</v>
      </c>
      <c r="O20" s="33">
        <f t="shared" si="7"/>
        <v>29123.628191200001</v>
      </c>
    </row>
    <row r="21" spans="1:15" s="87" customFormat="1">
      <c r="A21" s="239" t="s">
        <v>63</v>
      </c>
      <c r="B21" s="239"/>
      <c r="C21" s="239"/>
      <c r="D21" s="239"/>
      <c r="E21" s="239"/>
      <c r="F21" s="239"/>
      <c r="G21" s="239"/>
      <c r="H21" s="86">
        <f>+H11+H20</f>
        <v>29904.74</v>
      </c>
      <c r="I21" s="86">
        <f t="shared" ref="I21:O21" si="8">+I11+I20</f>
        <v>29904.74</v>
      </c>
      <c r="J21" s="86">
        <f t="shared" si="8"/>
        <v>0</v>
      </c>
      <c r="K21" s="86">
        <f t="shared" si="8"/>
        <v>0</v>
      </c>
      <c r="L21" s="86">
        <f t="shared" si="8"/>
        <v>119.61896</v>
      </c>
      <c r="M21" s="86">
        <f t="shared" si="8"/>
        <v>0</v>
      </c>
      <c r="N21" s="86">
        <f t="shared" si="8"/>
        <v>0</v>
      </c>
      <c r="O21" s="86">
        <f t="shared" si="8"/>
        <v>29123.628191200001</v>
      </c>
    </row>
    <row r="22" spans="1:15" s="89" customFormat="1">
      <c r="A22" s="88"/>
      <c r="B22" s="88"/>
      <c r="C22" s="88"/>
      <c r="D22" s="88" t="s">
        <v>64</v>
      </c>
      <c r="E22" s="88"/>
      <c r="F22" s="88"/>
      <c r="G22" s="71">
        <f>E22*F22/151.67</f>
        <v>0</v>
      </c>
      <c r="H22" s="83"/>
      <c r="I22" s="73">
        <f>+IF(H22&gt;+B$3/12*G22,B$3/12*G22,H22)</f>
        <v>0</v>
      </c>
      <c r="J22" s="97">
        <f>+IF(H22&gt;C$3/12*G22,IF(H22&gt;C$4*G22/12,(C$4-$C$3)*G22/12,H22-I22),0)</f>
        <v>0</v>
      </c>
      <c r="K22" s="98"/>
      <c r="L22" s="83">
        <f>K5*I22</f>
        <v>0</v>
      </c>
      <c r="M22" s="83">
        <f>J22*L5</f>
        <v>0</v>
      </c>
      <c r="N22" s="83"/>
      <c r="O22" s="83">
        <f>(H22+L22+M22+N22)*0.97</f>
        <v>0</v>
      </c>
    </row>
    <row r="23" spans="1:15" s="87" customFormat="1">
      <c r="A23" s="210" t="s">
        <v>65</v>
      </c>
      <c r="B23" s="210"/>
      <c r="C23" s="210"/>
      <c r="D23" s="210"/>
      <c r="E23" s="210"/>
      <c r="F23" s="210"/>
      <c r="G23" s="210"/>
      <c r="H23" s="90">
        <f>+H22+H21</f>
        <v>29904.74</v>
      </c>
      <c r="I23" s="90">
        <f t="shared" ref="I23:O23" si="9">+I22+I21</f>
        <v>29904.74</v>
      </c>
      <c r="J23" s="90">
        <f t="shared" si="9"/>
        <v>0</v>
      </c>
      <c r="K23" s="90">
        <f t="shared" si="9"/>
        <v>0</v>
      </c>
      <c r="L23" s="90">
        <f t="shared" si="9"/>
        <v>119.61896</v>
      </c>
      <c r="M23" s="90">
        <f t="shared" si="9"/>
        <v>0</v>
      </c>
      <c r="N23" s="90">
        <f t="shared" si="9"/>
        <v>0</v>
      </c>
      <c r="O23" s="90">
        <f t="shared" si="9"/>
        <v>29123.628191200001</v>
      </c>
    </row>
    <row r="24" spans="1:15" s="87" customFormat="1">
      <c r="A24" s="91"/>
      <c r="B24" s="91"/>
      <c r="C24" s="91"/>
      <c r="D24" s="91"/>
      <c r="E24" s="91"/>
      <c r="F24" s="91"/>
      <c r="G24" s="91"/>
      <c r="H24" s="92"/>
      <c r="I24" s="92"/>
      <c r="J24" s="92"/>
      <c r="K24" s="92"/>
      <c r="L24" s="92"/>
      <c r="M24" s="92"/>
      <c r="N24" s="92"/>
      <c r="O24" s="92"/>
    </row>
    <row r="25" spans="1:15" s="87" customFormat="1" ht="13.5" thickBot="1">
      <c r="A25" s="240" t="s">
        <v>86</v>
      </c>
      <c r="B25" s="240"/>
      <c r="C25" s="240"/>
      <c r="D25" s="240"/>
      <c r="E25" s="240"/>
      <c r="F25" s="240"/>
      <c r="G25" s="240"/>
      <c r="H25" s="102"/>
      <c r="I25" s="107" t="s">
        <v>87</v>
      </c>
      <c r="J25" s="102"/>
      <c r="K25" s="102"/>
      <c r="L25" s="102"/>
      <c r="M25" s="102"/>
      <c r="N25" s="102"/>
      <c r="O25" s="102"/>
    </row>
    <row r="26" spans="1:15" s="87" customFormat="1">
      <c r="A26" s="103"/>
      <c r="B26" s="103"/>
      <c r="C26" s="104" t="s">
        <v>80</v>
      </c>
      <c r="D26" s="104" t="s">
        <v>61</v>
      </c>
      <c r="E26" s="79">
        <v>151.66999999999999</v>
      </c>
      <c r="F26" s="79">
        <v>2.33</v>
      </c>
      <c r="G26" s="105">
        <f>IF(E26&gt;151.67,F26,E26*F26/151.67)</f>
        <v>2.33</v>
      </c>
      <c r="H26" s="106">
        <v>2420.83</v>
      </c>
      <c r="I26" s="73">
        <f>+APPR.!E27</f>
        <v>1900.6</v>
      </c>
      <c r="J26" s="97">
        <f>+IF(H26&gt;C$3/12*G26,IF(H26&gt;C$4*G26/12,(C$4-$C$3)*G26/12,H26-I26),0)</f>
        <v>0</v>
      </c>
      <c r="K26" s="98"/>
      <c r="L26" s="73">
        <f>$K$5*I26</f>
        <v>7.6023999999999994</v>
      </c>
      <c r="M26" s="73">
        <f>$L$5*J26</f>
        <v>0</v>
      </c>
      <c r="N26" s="73"/>
      <c r="O26" s="83">
        <f>(H26+L26+M26+N26)*0.97</f>
        <v>2355.579428</v>
      </c>
    </row>
    <row r="27" spans="1:15" s="87" customFormat="1">
      <c r="A27" s="75"/>
      <c r="B27" s="75"/>
      <c r="C27" s="69" t="s">
        <v>80</v>
      </c>
      <c r="D27" s="69" t="s">
        <v>61</v>
      </c>
      <c r="E27" s="76">
        <v>0</v>
      </c>
      <c r="F27" s="76">
        <v>0</v>
      </c>
      <c r="G27" s="71">
        <f>IF(E27&gt;151.67,F27,E27*F27/151.67)</f>
        <v>0</v>
      </c>
      <c r="H27" s="76">
        <v>0</v>
      </c>
      <c r="I27" s="73">
        <f>+IF(H27&gt;+B$3/12*G27,B$3/12*G27,H27)</f>
        <v>0</v>
      </c>
      <c r="J27" s="97">
        <f>+IF(H27&gt;C$3/12*G27,IF(H27&gt;C$4*G27/12,(C$4-$C$3)*G27/12,H27-I27),0)</f>
        <v>0</v>
      </c>
      <c r="K27" s="98"/>
      <c r="L27" s="73">
        <f>$K$5*I27</f>
        <v>0</v>
      </c>
      <c r="M27" s="73">
        <f>$L$5*J27</f>
        <v>0</v>
      </c>
      <c r="N27" s="73"/>
      <c r="O27" s="83">
        <f>(H27+L27+M27+N27)*0.97</f>
        <v>0</v>
      </c>
    </row>
    <row r="28" spans="1:15" s="87" customFormat="1">
      <c r="A28" s="239" t="s">
        <v>118</v>
      </c>
      <c r="B28" s="239"/>
      <c r="C28" s="239"/>
      <c r="D28" s="239"/>
      <c r="E28" s="239"/>
      <c r="F28" s="239"/>
      <c r="G28" s="239"/>
      <c r="H28" s="86">
        <f>SUM(H26:H27)</f>
        <v>2420.83</v>
      </c>
      <c r="I28" s="86">
        <f t="shared" ref="I28:O28" si="10">SUM(I26:I27)</f>
        <v>1900.6</v>
      </c>
      <c r="J28" s="86">
        <f t="shared" si="10"/>
        <v>0</v>
      </c>
      <c r="K28" s="86">
        <f t="shared" si="10"/>
        <v>0</v>
      </c>
      <c r="L28" s="86">
        <f t="shared" si="10"/>
        <v>7.6023999999999994</v>
      </c>
      <c r="M28" s="86">
        <f t="shared" si="10"/>
        <v>0</v>
      </c>
      <c r="N28" s="86">
        <f t="shared" si="10"/>
        <v>0</v>
      </c>
      <c r="O28" s="86">
        <f t="shared" si="10"/>
        <v>2355.579428</v>
      </c>
    </row>
    <row r="29" spans="1:15" s="87" customFormat="1">
      <c r="A29" s="91"/>
      <c r="B29" s="91"/>
      <c r="C29" s="91"/>
      <c r="D29" s="91"/>
      <c r="E29" s="91"/>
      <c r="F29" s="91"/>
      <c r="G29" s="91"/>
      <c r="H29" s="92"/>
      <c r="I29" s="92" t="s">
        <v>88</v>
      </c>
      <c r="J29" s="92"/>
      <c r="K29" s="92"/>
      <c r="L29" s="92"/>
      <c r="M29" s="92"/>
      <c r="N29" s="92"/>
    </row>
    <row r="30" spans="1:15" ht="13.5" thickBot="1">
      <c r="K30" s="2"/>
      <c r="L30" s="2"/>
      <c r="M30" s="2"/>
      <c r="N30" s="2"/>
      <c r="O30" s="2"/>
    </row>
    <row r="31" spans="1:15" ht="13.5" thickTop="1">
      <c r="A31" s="39" t="s">
        <v>37</v>
      </c>
      <c r="C31" s="218" t="s">
        <v>11</v>
      </c>
      <c r="D31" s="219"/>
      <c r="E31" s="220"/>
      <c r="F31" s="218" t="s">
        <v>14</v>
      </c>
      <c r="G31" s="220"/>
      <c r="H31" s="218" t="s">
        <v>15</v>
      </c>
      <c r="I31" s="220"/>
      <c r="J31" s="218" t="s">
        <v>16</v>
      </c>
      <c r="K31" s="220"/>
      <c r="L31" s="218" t="s">
        <v>17</v>
      </c>
      <c r="M31" s="220"/>
    </row>
    <row r="32" spans="1:15" ht="13.5" thickBot="1">
      <c r="C32" s="12" t="s">
        <v>12</v>
      </c>
      <c r="D32" s="13" t="s">
        <v>10</v>
      </c>
      <c r="E32" s="14" t="s">
        <v>13</v>
      </c>
      <c r="F32" s="12" t="s">
        <v>12</v>
      </c>
      <c r="G32" s="14" t="s">
        <v>13</v>
      </c>
      <c r="H32" s="12" t="s">
        <v>12</v>
      </c>
      <c r="I32" s="14" t="s">
        <v>13</v>
      </c>
      <c r="J32" s="12" t="s">
        <v>12</v>
      </c>
      <c r="K32" s="14" t="s">
        <v>13</v>
      </c>
      <c r="L32" s="12" t="s">
        <v>12</v>
      </c>
      <c r="M32" s="14" t="s">
        <v>13</v>
      </c>
    </row>
    <row r="33" spans="1:13" ht="13.5" thickTop="1">
      <c r="A33" s="225" t="s">
        <v>0</v>
      </c>
      <c r="B33" s="19" t="s">
        <v>4</v>
      </c>
      <c r="C33" s="16">
        <f>H23</f>
        <v>29904.74</v>
      </c>
      <c r="D33" s="38">
        <v>1.7000000000000001E-2</v>
      </c>
      <c r="E33" s="17">
        <f>C33*D33</f>
        <v>508.38058000000007</v>
      </c>
      <c r="F33" s="18"/>
      <c r="G33" s="17">
        <f>F33*D33</f>
        <v>0</v>
      </c>
      <c r="H33" s="18"/>
      <c r="I33" s="17">
        <f>H33*$D33</f>
        <v>0</v>
      </c>
      <c r="J33" s="18">
        <v>9639</v>
      </c>
      <c r="K33" s="193">
        <f>+J33*$D$33</f>
        <v>163.863</v>
      </c>
      <c r="L33" s="18">
        <f>C33-J33</f>
        <v>20265.740000000002</v>
      </c>
      <c r="M33" s="17">
        <f>L33*$D33</f>
        <v>344.51758000000007</v>
      </c>
    </row>
    <row r="34" spans="1:13">
      <c r="A34" s="226"/>
      <c r="B34" s="20" t="s">
        <v>2</v>
      </c>
      <c r="C34" s="18">
        <f>H23</f>
        <v>29904.74</v>
      </c>
      <c r="D34" s="3">
        <v>0.20949999999999999</v>
      </c>
      <c r="E34" s="17">
        <f>C34*D34</f>
        <v>6265.0430299999998</v>
      </c>
      <c r="F34" s="18"/>
      <c r="G34" s="17">
        <f>F34*D34</f>
        <v>0</v>
      </c>
      <c r="H34" s="18"/>
      <c r="I34" s="17">
        <f>H34*$D34</f>
        <v>0</v>
      </c>
      <c r="J34" s="18">
        <v>9639</v>
      </c>
      <c r="K34" s="17">
        <f>J34*$D34</f>
        <v>2019.3705</v>
      </c>
      <c r="L34" s="18">
        <f>+L33</f>
        <v>20265.740000000002</v>
      </c>
      <c r="M34" s="17">
        <f>L34*$D34</f>
        <v>4245.6725299999998</v>
      </c>
    </row>
    <row r="35" spans="1:13">
      <c r="A35" s="226"/>
      <c r="B35" s="20" t="s">
        <v>3</v>
      </c>
      <c r="C35" s="18">
        <f>I23</f>
        <v>29904.74</v>
      </c>
      <c r="D35" s="3">
        <v>0.15049999999999999</v>
      </c>
      <c r="E35" s="60">
        <f>C35*D35</f>
        <v>4500.6633700000002</v>
      </c>
      <c r="F35" s="18"/>
      <c r="G35" s="17">
        <f>F35*D35</f>
        <v>0</v>
      </c>
      <c r="H35" s="18"/>
      <c r="I35" s="17">
        <f>H35*$D35</f>
        <v>0</v>
      </c>
      <c r="J35" s="18">
        <v>9639</v>
      </c>
      <c r="K35" s="17">
        <f>J35*$D35</f>
        <v>1450.6695</v>
      </c>
      <c r="L35" s="18">
        <f>+L34</f>
        <v>20265.740000000002</v>
      </c>
      <c r="M35" s="17">
        <f>L35*$D35</f>
        <v>3049.9938700000002</v>
      </c>
    </row>
    <row r="36" spans="1:13">
      <c r="A36" s="226"/>
      <c r="B36" s="20" t="s">
        <v>5</v>
      </c>
      <c r="C36" s="16">
        <f>O23</f>
        <v>29123.628191200001</v>
      </c>
      <c r="D36" s="3">
        <v>0.08</v>
      </c>
      <c r="E36" s="17">
        <f>C36*D36</f>
        <v>2329.8902552960003</v>
      </c>
      <c r="F36" s="18"/>
      <c r="G36" s="17">
        <f>F36*D36</f>
        <v>0</v>
      </c>
      <c r="H36" s="18"/>
      <c r="I36" s="17">
        <f>H36*$D36</f>
        <v>0</v>
      </c>
      <c r="J36" s="18">
        <v>9368</v>
      </c>
      <c r="K36" s="17">
        <f>J36*$D36</f>
        <v>749.44</v>
      </c>
      <c r="L36" s="18">
        <f>C36-J36</f>
        <v>19755.628191200001</v>
      </c>
      <c r="M36" s="17">
        <f>L36*$D36</f>
        <v>1580.4502552960003</v>
      </c>
    </row>
    <row r="37" spans="1:13">
      <c r="A37" s="226"/>
      <c r="B37" s="20" t="s">
        <v>6</v>
      </c>
      <c r="C37" s="16"/>
      <c r="D37" s="31"/>
      <c r="E37" s="17">
        <f>-FILLON!K67</f>
        <v>-5891.5409500000023</v>
      </c>
      <c r="F37" s="18"/>
      <c r="G37" s="17"/>
      <c r="H37" s="18"/>
      <c r="I37" s="17"/>
      <c r="J37" s="18"/>
      <c r="K37" s="17">
        <v>-1398</v>
      </c>
      <c r="L37" s="18">
        <f t="shared" ref="L37:L46" si="11">C37-J37</f>
        <v>0</v>
      </c>
      <c r="M37" s="17">
        <f>ABS(K37)-ABS(E37)</f>
        <v>-4493.5409500000023</v>
      </c>
    </row>
    <row r="38" spans="1:13">
      <c r="A38" s="226"/>
      <c r="B38" s="20" t="s">
        <v>7</v>
      </c>
      <c r="C38" s="16">
        <f>2310.37-H49</f>
        <v>2047.12</v>
      </c>
      <c r="D38" s="31">
        <v>0.215</v>
      </c>
      <c r="E38" s="17">
        <f>C38*D38*-1</f>
        <v>-440.13079999999997</v>
      </c>
      <c r="F38" s="18"/>
      <c r="G38" s="17">
        <f>F38*D38*-1</f>
        <v>0</v>
      </c>
      <c r="H38" s="18"/>
      <c r="I38" s="17">
        <f>H38*$D38*-1</f>
        <v>0</v>
      </c>
      <c r="J38" s="18">
        <v>252</v>
      </c>
      <c r="K38" s="17">
        <f>J38*$D38*-1</f>
        <v>-54.18</v>
      </c>
      <c r="L38" s="18">
        <f t="shared" si="11"/>
        <v>1795.12</v>
      </c>
      <c r="M38" s="17">
        <f>ABS(K38)-ABS(E38)</f>
        <v>-385.95079999999996</v>
      </c>
    </row>
    <row r="39" spans="1:13">
      <c r="A39" s="226"/>
      <c r="B39" s="20" t="s">
        <v>8</v>
      </c>
      <c r="C39" s="16">
        <f>251.55-I49</f>
        <v>202.82000000000002</v>
      </c>
      <c r="D39" s="45">
        <v>1.5</v>
      </c>
      <c r="E39" s="17">
        <f>C39*D39*-1</f>
        <v>-304.23</v>
      </c>
      <c r="F39" s="18"/>
      <c r="G39" s="17">
        <f>F39*D39*-1</f>
        <v>0</v>
      </c>
      <c r="H39" s="18"/>
      <c r="I39" s="17">
        <f>H39*$D39*-1</f>
        <v>0</v>
      </c>
      <c r="J39" s="18">
        <v>23</v>
      </c>
      <c r="K39" s="17">
        <f>J39*$D39*-1</f>
        <v>-34.5</v>
      </c>
      <c r="L39" s="18">
        <f t="shared" si="11"/>
        <v>179.82000000000002</v>
      </c>
      <c r="M39" s="17">
        <f>ABS(K39)-ABS(E39)</f>
        <v>-269.73</v>
      </c>
    </row>
    <row r="40" spans="1:13">
      <c r="A40" s="226"/>
      <c r="B40" s="20" t="s">
        <v>41</v>
      </c>
      <c r="C40" s="18"/>
      <c r="D40" s="31">
        <v>0.28000000000000003</v>
      </c>
      <c r="E40" s="17">
        <f>SUM(C40*D40)*-1</f>
        <v>0</v>
      </c>
      <c r="F40" s="18"/>
      <c r="G40" s="17">
        <f>-F40*0.28</f>
        <v>0</v>
      </c>
      <c r="H40" s="18"/>
      <c r="I40" s="17">
        <f>-H40*0.28</f>
        <v>0</v>
      </c>
      <c r="J40" s="18"/>
      <c r="K40" s="17">
        <f>-J40*0.28</f>
        <v>0</v>
      </c>
      <c r="L40" s="18">
        <f t="shared" si="11"/>
        <v>0</v>
      </c>
      <c r="M40" s="17">
        <f>-L40*0.28</f>
        <v>0</v>
      </c>
    </row>
    <row r="41" spans="1:13">
      <c r="A41" s="226"/>
      <c r="B41" s="20"/>
      <c r="C41" s="18"/>
      <c r="D41" s="31"/>
      <c r="E41" s="17"/>
      <c r="F41" s="18"/>
      <c r="G41" s="17"/>
      <c r="H41" s="18"/>
      <c r="I41" s="17"/>
      <c r="J41" s="18"/>
      <c r="K41" s="17"/>
      <c r="L41" s="18">
        <f t="shared" si="11"/>
        <v>0</v>
      </c>
      <c r="M41" s="17"/>
    </row>
    <row r="42" spans="1:13">
      <c r="A42" s="226"/>
      <c r="B42" s="55" t="s">
        <v>44</v>
      </c>
      <c r="C42" s="18"/>
      <c r="D42" s="31">
        <f>(1.15%+D33)</f>
        <v>2.8500000000000001E-2</v>
      </c>
      <c r="E42" s="17">
        <f>C42*D42</f>
        <v>0</v>
      </c>
      <c r="F42" s="18"/>
      <c r="G42" s="17">
        <f>$D$42*F42</f>
        <v>0</v>
      </c>
      <c r="H42" s="18"/>
      <c r="I42" s="17">
        <f>$D$42*H42</f>
        <v>0</v>
      </c>
      <c r="J42" s="18"/>
      <c r="K42" s="17">
        <f>$D$42*J42</f>
        <v>0</v>
      </c>
      <c r="L42" s="18">
        <f t="shared" si="11"/>
        <v>0</v>
      </c>
      <c r="M42" s="17">
        <f>$D$42*L42</f>
        <v>0</v>
      </c>
    </row>
    <row r="43" spans="1:13">
      <c r="A43" s="226"/>
      <c r="B43" s="55" t="s">
        <v>44</v>
      </c>
      <c r="C43" s="18">
        <f>C42</f>
        <v>0</v>
      </c>
      <c r="D43" s="31">
        <v>6.7500000000000004E-2</v>
      </c>
      <c r="E43" s="17">
        <f>C43*D43</f>
        <v>0</v>
      </c>
      <c r="F43" s="18">
        <f>F42</f>
        <v>0</v>
      </c>
      <c r="G43" s="17">
        <f>$D$43*F43</f>
        <v>0</v>
      </c>
      <c r="H43" s="18">
        <f>H42</f>
        <v>0</v>
      </c>
      <c r="I43" s="17">
        <f>$D$43*H43</f>
        <v>0</v>
      </c>
      <c r="J43" s="18">
        <f>J42</f>
        <v>0</v>
      </c>
      <c r="K43" s="17">
        <f>$D$43*J43</f>
        <v>0</v>
      </c>
      <c r="L43" s="18">
        <f t="shared" si="11"/>
        <v>0</v>
      </c>
      <c r="M43" s="17">
        <f>$D$43*L43</f>
        <v>0</v>
      </c>
    </row>
    <row r="44" spans="1:13">
      <c r="A44" s="226"/>
      <c r="B44" s="55"/>
      <c r="C44" s="18"/>
      <c r="D44" s="31"/>
      <c r="E44" s="17"/>
      <c r="F44" s="18"/>
      <c r="G44" s="17"/>
      <c r="H44" s="18"/>
      <c r="I44" s="17"/>
      <c r="J44" s="18"/>
      <c r="K44" s="17"/>
      <c r="L44" s="18">
        <f t="shared" si="11"/>
        <v>0</v>
      </c>
      <c r="M44" s="17"/>
    </row>
    <row r="45" spans="1:13">
      <c r="A45" s="226"/>
      <c r="B45" s="101" t="s">
        <v>85</v>
      </c>
      <c r="C45" s="18">
        <f>+I28</f>
        <v>1900.6</v>
      </c>
      <c r="D45" s="31">
        <f>D33</f>
        <v>1.7000000000000001E-2</v>
      </c>
      <c r="E45" s="17">
        <f>C45*D45</f>
        <v>32.310200000000002</v>
      </c>
      <c r="F45" s="18"/>
      <c r="G45" s="17"/>
      <c r="H45" s="18"/>
      <c r="I45" s="17"/>
      <c r="J45" s="18"/>
      <c r="K45" s="17"/>
      <c r="L45" s="18">
        <f t="shared" si="11"/>
        <v>1900.6</v>
      </c>
      <c r="M45" s="17">
        <f>L45*D45</f>
        <v>32.310200000000002</v>
      </c>
    </row>
    <row r="46" spans="1:13">
      <c r="A46" s="226"/>
      <c r="B46" s="20"/>
      <c r="C46" s="18"/>
      <c r="D46" s="3"/>
      <c r="E46" s="17"/>
      <c r="F46" s="18"/>
      <c r="G46" s="17"/>
      <c r="H46" s="18"/>
      <c r="I46" s="17"/>
      <c r="J46" s="18"/>
      <c r="K46" s="17"/>
      <c r="L46" s="18">
        <f t="shared" si="11"/>
        <v>0</v>
      </c>
      <c r="M46" s="17"/>
    </row>
    <row r="47" spans="1:13" ht="13.5" thickBot="1">
      <c r="A47" s="227"/>
      <c r="B47" s="21" t="s">
        <v>9</v>
      </c>
      <c r="C47" s="18"/>
      <c r="D47" s="3"/>
      <c r="E47" s="174">
        <f>SUM(E33:E46)</f>
        <v>7000.385685295998</v>
      </c>
      <c r="F47" s="22"/>
      <c r="G47" s="24">
        <f>SUM(G33:G46)</f>
        <v>0</v>
      </c>
      <c r="H47" s="22"/>
      <c r="I47" s="24">
        <f>SUM(I33:I46)</f>
        <v>0</v>
      </c>
      <c r="J47" s="22"/>
      <c r="K47" s="24">
        <f>SUM(K33:K46)</f>
        <v>2896.663</v>
      </c>
      <c r="L47" s="22"/>
      <c r="M47" s="24">
        <f>SUM(M33:M46)</f>
        <v>4103.7226852959984</v>
      </c>
    </row>
    <row r="48" spans="1:13" ht="13.5" thickTop="1">
      <c r="A48" s="6"/>
      <c r="B48" s="4"/>
      <c r="C48" s="175" t="s">
        <v>50</v>
      </c>
      <c r="D48" s="176"/>
      <c r="E48" s="177">
        <f>SUM(G47,I47,K47,M47)</f>
        <v>7000.385685295998</v>
      </c>
      <c r="F48" s="25"/>
      <c r="G48" s="241" t="s">
        <v>145</v>
      </c>
      <c r="H48" s="241"/>
      <c r="I48" s="241"/>
      <c r="J48" s="241"/>
    </row>
    <row r="49" spans="1:13" ht="13.5" thickBot="1">
      <c r="A49" s="6"/>
      <c r="B49" s="4"/>
      <c r="C49" s="178" t="s">
        <v>51</v>
      </c>
      <c r="D49" s="179"/>
      <c r="E49" s="180">
        <f>E47-E48</f>
        <v>0</v>
      </c>
      <c r="F49" s="46"/>
      <c r="H49" s="190">
        <v>263.25</v>
      </c>
      <c r="I49" s="191">
        <v>48.73</v>
      </c>
      <c r="J49" s="192" t="s">
        <v>146</v>
      </c>
    </row>
    <row r="50" spans="1:13" ht="13.5" thickBot="1">
      <c r="A50" s="6"/>
      <c r="B50" s="4"/>
      <c r="C50" s="181"/>
      <c r="D50" s="182"/>
      <c r="E50" s="183"/>
    </row>
    <row r="51" spans="1:13" ht="12.75" customHeight="1" thickTop="1" thickBot="1">
      <c r="C51" s="221" t="s">
        <v>11</v>
      </c>
      <c r="D51" s="222"/>
      <c r="E51" s="223"/>
      <c r="F51" s="217" t="s">
        <v>14</v>
      </c>
      <c r="G51" s="204"/>
      <c r="H51" s="203" t="s">
        <v>15</v>
      </c>
      <c r="I51" s="204"/>
      <c r="J51" s="203" t="s">
        <v>16</v>
      </c>
      <c r="K51" s="204"/>
      <c r="L51" s="203" t="s">
        <v>17</v>
      </c>
      <c r="M51" s="204"/>
    </row>
    <row r="52" spans="1:13" ht="13.5" hidden="1" thickBot="1">
      <c r="C52" s="184" t="s">
        <v>12</v>
      </c>
      <c r="D52" s="185" t="s">
        <v>10</v>
      </c>
      <c r="E52" s="186" t="s">
        <v>13</v>
      </c>
      <c r="F52" s="12" t="s">
        <v>12</v>
      </c>
      <c r="G52" s="14" t="s">
        <v>13</v>
      </c>
      <c r="H52" s="12" t="s">
        <v>12</v>
      </c>
      <c r="I52" s="14" t="s">
        <v>13</v>
      </c>
      <c r="J52" s="12" t="s">
        <v>12</v>
      </c>
      <c r="K52" s="14" t="s">
        <v>13</v>
      </c>
      <c r="L52" s="12" t="s">
        <v>12</v>
      </c>
      <c r="M52" s="14" t="s">
        <v>13</v>
      </c>
    </row>
    <row r="53" spans="1:13" ht="12.75" customHeight="1" thickTop="1">
      <c r="A53" s="230" t="s">
        <v>67</v>
      </c>
      <c r="B53" s="11" t="s">
        <v>1</v>
      </c>
      <c r="C53" s="16">
        <f>H23</f>
        <v>29904.74</v>
      </c>
      <c r="D53" s="3">
        <v>6.4000000000000001E-2</v>
      </c>
      <c r="E53" s="17">
        <f>+C53*D53</f>
        <v>1913.9033600000002</v>
      </c>
      <c r="F53" s="18"/>
      <c r="G53" s="62"/>
      <c r="H53" s="18"/>
      <c r="I53" s="62"/>
      <c r="J53" s="18">
        <v>9639</v>
      </c>
      <c r="K53" s="62">
        <v>617</v>
      </c>
      <c r="L53" s="18">
        <f>C53-J53</f>
        <v>20265.740000000002</v>
      </c>
      <c r="M53" s="62">
        <f>E53-K53</f>
        <v>1296.9033600000002</v>
      </c>
    </row>
    <row r="54" spans="1:13">
      <c r="A54" s="231"/>
      <c r="B54" s="8" t="s">
        <v>46</v>
      </c>
      <c r="C54" s="18"/>
      <c r="D54" s="3">
        <v>1E-3</v>
      </c>
      <c r="E54" s="17">
        <f>+C54*D54</f>
        <v>0</v>
      </c>
      <c r="F54" s="18"/>
      <c r="G54" s="62"/>
      <c r="H54" s="18"/>
      <c r="I54" s="17"/>
      <c r="J54" s="18"/>
      <c r="K54" s="17"/>
      <c r="L54" s="18"/>
      <c r="M54" s="17"/>
    </row>
    <row r="55" spans="1:13">
      <c r="A55" s="231"/>
      <c r="B55" s="8" t="s">
        <v>47</v>
      </c>
      <c r="C55" s="18"/>
      <c r="D55" s="3">
        <v>2E-3</v>
      </c>
      <c r="E55" s="17">
        <f>+C55*D55</f>
        <v>0</v>
      </c>
      <c r="F55" s="18"/>
      <c r="G55" s="17"/>
      <c r="H55" s="18"/>
      <c r="I55" s="62"/>
      <c r="J55" s="18"/>
      <c r="K55" s="17"/>
      <c r="L55" s="18"/>
      <c r="M55" s="17"/>
    </row>
    <row r="56" spans="1:13">
      <c r="A56" s="231"/>
      <c r="B56" s="8" t="s">
        <v>48</v>
      </c>
      <c r="C56" s="18">
        <v>9638.93</v>
      </c>
      <c r="D56" s="3">
        <v>3.0000000000000001E-3</v>
      </c>
      <c r="E56" s="17">
        <f>+C56*D56</f>
        <v>28.916790000000002</v>
      </c>
      <c r="F56" s="18"/>
      <c r="G56" s="17"/>
      <c r="H56" s="18"/>
      <c r="I56" s="17"/>
      <c r="J56" s="18">
        <v>9639</v>
      </c>
      <c r="K56" s="62">
        <v>10</v>
      </c>
      <c r="L56" s="18"/>
      <c r="M56" s="17"/>
    </row>
    <row r="57" spans="1:13">
      <c r="A57" s="231"/>
      <c r="B57" s="8" t="s">
        <v>49</v>
      </c>
      <c r="C57" s="18">
        <v>20265.810000000001</v>
      </c>
      <c r="D57" s="3">
        <v>4.0000000000000001E-3</v>
      </c>
      <c r="E57" s="17">
        <f>+C57*D57</f>
        <v>81.063240000000008</v>
      </c>
      <c r="F57" s="18"/>
      <c r="G57" s="17"/>
      <c r="H57" s="18"/>
      <c r="I57" s="17"/>
      <c r="J57" s="18"/>
      <c r="K57" s="17"/>
      <c r="L57" s="18">
        <f>C57-J57</f>
        <v>20265.810000000001</v>
      </c>
      <c r="M57" s="62">
        <f>E57-K57</f>
        <v>81.063240000000008</v>
      </c>
    </row>
    <row r="58" spans="1:13" ht="23.25" customHeight="1" thickBot="1">
      <c r="A58" s="232"/>
      <c r="B58" s="10" t="s">
        <v>9</v>
      </c>
      <c r="C58" s="22"/>
      <c r="D58" s="15"/>
      <c r="E58" s="23">
        <f>SUM(E53:E57)</f>
        <v>2023.8833900000002</v>
      </c>
      <c r="F58" s="22"/>
      <c r="G58" s="24">
        <f>SUM(G53:G57)</f>
        <v>0</v>
      </c>
      <c r="H58" s="22"/>
      <c r="I58" s="24">
        <f>SUM(I53:I57)</f>
        <v>0</v>
      </c>
      <c r="J58" s="22"/>
      <c r="K58" s="24">
        <f>SUM(K53:K57)</f>
        <v>627</v>
      </c>
      <c r="L58" s="22"/>
      <c r="M58" s="24">
        <f>SUM(M53:M57)</f>
        <v>1377.9666000000002</v>
      </c>
    </row>
    <row r="59" spans="1:13" ht="13.5" thickTop="1">
      <c r="A59" s="5"/>
      <c r="B59" s="2"/>
      <c r="C59" s="175" t="s">
        <v>50</v>
      </c>
      <c r="D59" s="176"/>
      <c r="E59" s="177">
        <f>SUM(G58,I58,K58,M58)</f>
        <v>2004.9666000000002</v>
      </c>
    </row>
    <row r="60" spans="1:13" ht="13.5" thickBot="1">
      <c r="A60" s="5"/>
      <c r="B60" s="2"/>
      <c r="C60" s="178" t="s">
        <v>51</v>
      </c>
      <c r="D60" s="179"/>
      <c r="E60" s="180">
        <f>E58-E59</f>
        <v>18.916789999999992</v>
      </c>
    </row>
    <row r="61" spans="1:13" ht="13.5" thickBot="1">
      <c r="A61" s="5"/>
      <c r="B61" s="2"/>
      <c r="C61" s="181"/>
      <c r="D61" s="182"/>
      <c r="E61" s="183"/>
    </row>
    <row r="62" spans="1:13" ht="14.25" thickTop="1" thickBot="1">
      <c r="C62" s="214" t="s">
        <v>11</v>
      </c>
      <c r="D62" s="215"/>
      <c r="E62" s="216"/>
      <c r="F62" s="217" t="s">
        <v>14</v>
      </c>
      <c r="G62" s="204"/>
      <c r="H62" s="203" t="s">
        <v>15</v>
      </c>
      <c r="I62" s="204"/>
      <c r="J62" s="203" t="s">
        <v>16</v>
      </c>
      <c r="K62" s="224"/>
      <c r="L62" s="228" t="s">
        <v>17</v>
      </c>
      <c r="M62" s="229"/>
    </row>
    <row r="63" spans="1:13" ht="13.5" thickBot="1">
      <c r="C63" s="187" t="s">
        <v>12</v>
      </c>
      <c r="D63" s="188" t="s">
        <v>10</v>
      </c>
      <c r="E63" s="189" t="s">
        <v>13</v>
      </c>
      <c r="F63" s="34" t="s">
        <v>12</v>
      </c>
      <c r="G63" s="36" t="s">
        <v>13</v>
      </c>
      <c r="H63" s="34" t="s">
        <v>12</v>
      </c>
      <c r="I63" s="36" t="s">
        <v>13</v>
      </c>
      <c r="J63" s="34" t="s">
        <v>12</v>
      </c>
      <c r="K63" s="194" t="s">
        <v>13</v>
      </c>
      <c r="L63" s="196" t="s">
        <v>12</v>
      </c>
      <c r="M63" s="197" t="s">
        <v>13</v>
      </c>
    </row>
    <row r="64" spans="1:13" ht="12.75" customHeight="1" thickTop="1">
      <c r="A64" s="211" t="s">
        <v>68</v>
      </c>
      <c r="B64" s="41" t="s">
        <v>29</v>
      </c>
      <c r="C64" s="95">
        <f>I20+I22</f>
        <v>29904.74</v>
      </c>
      <c r="D64" s="47">
        <v>7.4999999999999997E-2</v>
      </c>
      <c r="E64" s="48">
        <f>+C64*D64</f>
        <v>2242.8555000000001</v>
      </c>
      <c r="F64" s="49"/>
      <c r="G64" s="48">
        <f>+F64*$D64</f>
        <v>0</v>
      </c>
      <c r="H64" s="49"/>
      <c r="I64" s="48">
        <f>+H64*$D64</f>
        <v>0</v>
      </c>
      <c r="J64" s="49">
        <v>9639</v>
      </c>
      <c r="K64" s="58">
        <f>+J64*$D64</f>
        <v>722.92499999999995</v>
      </c>
      <c r="L64" s="198">
        <f>C64-J64</f>
        <v>20265.740000000002</v>
      </c>
      <c r="M64" s="199">
        <f>+L64*$D64</f>
        <v>1519.9305000000002</v>
      </c>
    </row>
    <row r="65" spans="1:13">
      <c r="A65" s="212"/>
      <c r="B65" s="42" t="s">
        <v>30</v>
      </c>
      <c r="C65" s="93">
        <f>C64</f>
        <v>29904.74</v>
      </c>
      <c r="D65" s="47">
        <v>0.02</v>
      </c>
      <c r="E65" s="48">
        <f>+C65*D65</f>
        <v>598.09480000000008</v>
      </c>
      <c r="F65" s="49"/>
      <c r="G65" s="48">
        <f t="shared" ref="G65:G78" si="12">+F65*$D65</f>
        <v>0</v>
      </c>
      <c r="H65" s="49"/>
      <c r="I65" s="48">
        <f t="shared" ref="I65:I78" si="13">+H65*$D65</f>
        <v>0</v>
      </c>
      <c r="J65" s="49">
        <v>9639</v>
      </c>
      <c r="K65" s="58">
        <f t="shared" ref="K65:K78" si="14">+J65*$D65</f>
        <v>192.78</v>
      </c>
      <c r="L65" s="198">
        <f>+L64</f>
        <v>20265.740000000002</v>
      </c>
      <c r="M65" s="199">
        <f t="shared" ref="M65:M78" si="15">+L65*$D65</f>
        <v>405.31480000000005</v>
      </c>
    </row>
    <row r="66" spans="1:13" ht="12.75" customHeight="1">
      <c r="A66" s="212"/>
      <c r="B66" s="42" t="s">
        <v>69</v>
      </c>
      <c r="C66" s="95">
        <f>J20+J22</f>
        <v>0</v>
      </c>
      <c r="D66" s="47">
        <v>0.2</v>
      </c>
      <c r="E66" s="48">
        <f>+C66*D66</f>
        <v>0</v>
      </c>
      <c r="F66" s="49"/>
      <c r="G66" s="48">
        <f>+F66*$D66</f>
        <v>0</v>
      </c>
      <c r="H66" s="49"/>
      <c r="I66" s="48">
        <f>+H66*$D66</f>
        <v>0</v>
      </c>
      <c r="J66" s="49"/>
      <c r="K66" s="58">
        <f>+J66*$D66</f>
        <v>0</v>
      </c>
      <c r="L66" s="200"/>
      <c r="M66" s="199">
        <f>+L66*$D66</f>
        <v>0</v>
      </c>
    </row>
    <row r="67" spans="1:13">
      <c r="A67" s="212"/>
      <c r="B67" s="42" t="s">
        <v>70</v>
      </c>
      <c r="C67" s="93">
        <f>C66</f>
        <v>0</v>
      </c>
      <c r="D67" s="47">
        <v>2.1999999999999999E-2</v>
      </c>
      <c r="E67" s="48">
        <f>+C67*D67</f>
        <v>0</v>
      </c>
      <c r="F67" s="49"/>
      <c r="G67" s="48">
        <f t="shared" si="12"/>
        <v>0</v>
      </c>
      <c r="H67" s="49"/>
      <c r="I67" s="48">
        <f t="shared" si="13"/>
        <v>0</v>
      </c>
      <c r="J67" s="49"/>
      <c r="K67" s="58">
        <f t="shared" si="14"/>
        <v>0</v>
      </c>
      <c r="L67" s="200"/>
      <c r="M67" s="199">
        <f t="shared" si="15"/>
        <v>0</v>
      </c>
    </row>
    <row r="68" spans="1:13">
      <c r="A68" s="212"/>
      <c r="B68" s="42"/>
      <c r="C68" s="93"/>
      <c r="D68" s="47"/>
      <c r="E68" s="48"/>
      <c r="F68" s="49"/>
      <c r="G68" s="48">
        <f t="shared" si="12"/>
        <v>0</v>
      </c>
      <c r="H68" s="49"/>
      <c r="I68" s="48"/>
      <c r="J68" s="49"/>
      <c r="K68" s="58"/>
      <c r="L68" s="200"/>
      <c r="M68" s="199"/>
    </row>
    <row r="69" spans="1:13">
      <c r="A69" s="212"/>
      <c r="B69" s="42" t="s">
        <v>31</v>
      </c>
      <c r="C69" s="93">
        <f>I11</f>
        <v>0</v>
      </c>
      <c r="D69" s="56">
        <f>D64</f>
        <v>7.4999999999999997E-2</v>
      </c>
      <c r="E69" s="48">
        <f>+C69*D69</f>
        <v>0</v>
      </c>
      <c r="F69" s="49"/>
      <c r="G69" s="48">
        <f t="shared" si="12"/>
        <v>0</v>
      </c>
      <c r="H69" s="49"/>
      <c r="I69" s="48">
        <f t="shared" si="13"/>
        <v>0</v>
      </c>
      <c r="J69" s="49"/>
      <c r="K69" s="58">
        <f t="shared" si="14"/>
        <v>0</v>
      </c>
      <c r="L69" s="200"/>
      <c r="M69" s="199">
        <f t="shared" si="15"/>
        <v>0</v>
      </c>
    </row>
    <row r="70" spans="1:13">
      <c r="A70" s="212"/>
      <c r="B70" s="42" t="s">
        <v>32</v>
      </c>
      <c r="C70" s="93">
        <f>C69</f>
        <v>0</v>
      </c>
      <c r="D70" s="47">
        <v>0.02</v>
      </c>
      <c r="E70" s="48">
        <f>+C70*D70</f>
        <v>0</v>
      </c>
      <c r="F70" s="49"/>
      <c r="G70" s="48">
        <f t="shared" si="12"/>
        <v>0</v>
      </c>
      <c r="H70" s="49"/>
      <c r="I70" s="48">
        <f t="shared" si="13"/>
        <v>0</v>
      </c>
      <c r="J70" s="49"/>
      <c r="K70" s="58">
        <f t="shared" si="14"/>
        <v>0</v>
      </c>
      <c r="L70" s="200"/>
      <c r="M70" s="199">
        <f t="shared" si="15"/>
        <v>0</v>
      </c>
    </row>
    <row r="71" spans="1:13">
      <c r="A71" s="212"/>
      <c r="B71" s="42"/>
      <c r="C71" s="93"/>
      <c r="D71" s="47"/>
      <c r="E71" s="48"/>
      <c r="F71" s="49"/>
      <c r="G71" s="48"/>
      <c r="H71" s="49"/>
      <c r="I71" s="48"/>
      <c r="J71" s="49"/>
      <c r="K71" s="58"/>
      <c r="L71" s="200"/>
      <c r="M71" s="199"/>
    </row>
    <row r="72" spans="1:13">
      <c r="A72" s="212"/>
      <c r="B72" s="42" t="s">
        <v>33</v>
      </c>
      <c r="C72" s="95">
        <f>J11+K11</f>
        <v>0</v>
      </c>
      <c r="D72" s="47">
        <v>0.20300000000000001</v>
      </c>
      <c r="E72" s="48">
        <f>+C72*D72</f>
        <v>0</v>
      </c>
      <c r="F72" s="49"/>
      <c r="G72" s="48">
        <f t="shared" si="12"/>
        <v>0</v>
      </c>
      <c r="H72" s="49"/>
      <c r="I72" s="48">
        <f t="shared" si="13"/>
        <v>0</v>
      </c>
      <c r="J72" s="49"/>
      <c r="K72" s="58">
        <f t="shared" si="14"/>
        <v>0</v>
      </c>
      <c r="L72" s="200"/>
      <c r="M72" s="199">
        <f t="shared" si="15"/>
        <v>0</v>
      </c>
    </row>
    <row r="73" spans="1:13">
      <c r="A73" s="212"/>
      <c r="B73" s="42" t="s">
        <v>71</v>
      </c>
      <c r="C73" s="95"/>
      <c r="D73" s="47">
        <v>0.20300000000000001</v>
      </c>
      <c r="E73" s="48">
        <f>+C73*D73</f>
        <v>0</v>
      </c>
      <c r="F73" s="49"/>
      <c r="G73" s="48">
        <f t="shared" si="12"/>
        <v>0</v>
      </c>
      <c r="H73" s="49"/>
      <c r="I73" s="48">
        <f t="shared" si="13"/>
        <v>0</v>
      </c>
      <c r="J73" s="49"/>
      <c r="K73" s="58">
        <f t="shared" si="14"/>
        <v>0</v>
      </c>
      <c r="L73" s="200"/>
      <c r="M73" s="199">
        <f t="shared" si="15"/>
        <v>0</v>
      </c>
    </row>
    <row r="74" spans="1:13">
      <c r="A74" s="212"/>
      <c r="B74" s="42" t="s">
        <v>34</v>
      </c>
      <c r="C74" s="93">
        <f>J11</f>
        <v>0</v>
      </c>
      <c r="D74" s="47">
        <v>2.1999999999999999E-2</v>
      </c>
      <c r="E74" s="48">
        <f>+C74*D74</f>
        <v>0</v>
      </c>
      <c r="F74" s="49"/>
      <c r="G74" s="48">
        <f t="shared" si="12"/>
        <v>0</v>
      </c>
      <c r="H74" s="49"/>
      <c r="I74" s="48">
        <f t="shared" si="13"/>
        <v>0</v>
      </c>
      <c r="J74" s="49"/>
      <c r="K74" s="58">
        <f t="shared" si="14"/>
        <v>0</v>
      </c>
      <c r="L74" s="200"/>
      <c r="M74" s="199">
        <f t="shared" si="15"/>
        <v>0</v>
      </c>
    </row>
    <row r="75" spans="1:13">
      <c r="A75" s="212"/>
      <c r="B75" s="42"/>
      <c r="C75" s="93"/>
      <c r="D75" s="47"/>
      <c r="E75" s="58"/>
      <c r="F75" s="49"/>
      <c r="G75" s="48">
        <f t="shared" si="12"/>
        <v>0</v>
      </c>
      <c r="H75" s="49"/>
      <c r="I75" s="48"/>
      <c r="J75" s="49"/>
      <c r="K75" s="58"/>
      <c r="L75" s="200"/>
      <c r="M75" s="199"/>
    </row>
    <row r="76" spans="1:13" ht="25.5">
      <c r="A76" s="212"/>
      <c r="B76" s="44" t="s">
        <v>40</v>
      </c>
      <c r="C76" s="94"/>
      <c r="D76" s="57">
        <v>20.58</v>
      </c>
      <c r="E76" s="58">
        <f>C76*D76</f>
        <v>0</v>
      </c>
      <c r="F76" s="49"/>
      <c r="G76" s="48">
        <f>F76*D76</f>
        <v>0</v>
      </c>
      <c r="H76" s="49"/>
      <c r="I76" s="48">
        <f>H76*D76</f>
        <v>0</v>
      </c>
      <c r="J76" s="49"/>
      <c r="K76" s="58">
        <f>D76*J76</f>
        <v>0</v>
      </c>
      <c r="L76" s="200"/>
      <c r="M76" s="199">
        <f>L76*D76</f>
        <v>0</v>
      </c>
    </row>
    <row r="77" spans="1:13">
      <c r="A77" s="212"/>
      <c r="B77" s="42" t="s">
        <v>39</v>
      </c>
      <c r="C77" s="93">
        <f>J11</f>
        <v>0</v>
      </c>
      <c r="D77" s="47">
        <v>5.9999999999999995E-4</v>
      </c>
      <c r="E77" s="58">
        <f>C77*D77</f>
        <v>0</v>
      </c>
      <c r="F77" s="49"/>
      <c r="G77" s="48">
        <f t="shared" si="12"/>
        <v>0</v>
      </c>
      <c r="H77" s="49"/>
      <c r="I77" s="48">
        <f t="shared" si="13"/>
        <v>0</v>
      </c>
      <c r="J77" s="49"/>
      <c r="K77" s="58">
        <f t="shared" si="14"/>
        <v>0</v>
      </c>
      <c r="L77" s="200"/>
      <c r="M77" s="199">
        <f t="shared" si="15"/>
        <v>0</v>
      </c>
    </row>
    <row r="78" spans="1:13">
      <c r="A78" s="212"/>
      <c r="B78" s="42" t="s">
        <v>38</v>
      </c>
      <c r="C78" s="93">
        <f>H11</f>
        <v>0</v>
      </c>
      <c r="D78" s="47">
        <v>3.5000000000000001E-3</v>
      </c>
      <c r="E78" s="58">
        <f>SUM(C78*D78)</f>
        <v>0</v>
      </c>
      <c r="F78" s="49"/>
      <c r="G78" s="48">
        <f t="shared" si="12"/>
        <v>0</v>
      </c>
      <c r="H78" s="49"/>
      <c r="I78" s="48">
        <f t="shared" si="13"/>
        <v>0</v>
      </c>
      <c r="J78" s="49"/>
      <c r="K78" s="58">
        <f t="shared" si="14"/>
        <v>0</v>
      </c>
      <c r="L78" s="200"/>
      <c r="M78" s="199">
        <f t="shared" si="15"/>
        <v>0</v>
      </c>
    </row>
    <row r="79" spans="1:13">
      <c r="A79" s="212"/>
      <c r="B79" s="42"/>
      <c r="C79" s="94"/>
      <c r="D79" s="47"/>
      <c r="E79" s="50"/>
      <c r="F79" s="49"/>
      <c r="G79" s="48"/>
      <c r="H79" s="49"/>
      <c r="I79" s="48"/>
      <c r="J79" s="49"/>
      <c r="K79" s="58"/>
      <c r="L79" s="200"/>
      <c r="M79" s="199"/>
    </row>
    <row r="80" spans="1:13" ht="13.5" thickBot="1">
      <c r="A80" s="213"/>
      <c r="B80" s="43" t="s">
        <v>9</v>
      </c>
      <c r="C80" s="96"/>
      <c r="D80" s="51"/>
      <c r="E80" s="52">
        <f>SUM(E64:E79)</f>
        <v>2840.9503000000004</v>
      </c>
      <c r="F80" s="53"/>
      <c r="G80" s="54">
        <f>SUM(G64:G79)</f>
        <v>0</v>
      </c>
      <c r="H80" s="53"/>
      <c r="I80" s="54">
        <f>SUM(I64:I79)</f>
        <v>0</v>
      </c>
      <c r="J80" s="53"/>
      <c r="K80" s="195">
        <f>SUM(K64:K79)</f>
        <v>915.70499999999993</v>
      </c>
      <c r="L80" s="201"/>
      <c r="M80" s="202">
        <f>SUM(M64:M79)</f>
        <v>1925.2453000000003</v>
      </c>
    </row>
    <row r="81" spans="1:13">
      <c r="A81" s="6"/>
      <c r="B81" s="7"/>
      <c r="C81" s="175" t="s">
        <v>50</v>
      </c>
      <c r="D81" s="176"/>
      <c r="E81" s="177">
        <f>SUM(G80,I80,K80,M80)</f>
        <v>2840.9503000000004</v>
      </c>
      <c r="F81" s="26"/>
      <c r="G81" s="26"/>
      <c r="H81" s="26"/>
      <c r="I81" s="26"/>
      <c r="J81" s="26"/>
      <c r="K81" s="26"/>
      <c r="L81" s="26"/>
      <c r="M81" s="26"/>
    </row>
    <row r="82" spans="1:13" ht="13.5" thickBot="1">
      <c r="A82" s="6"/>
      <c r="B82" s="7"/>
      <c r="C82" s="178" t="s">
        <v>51</v>
      </c>
      <c r="D82" s="179"/>
      <c r="E82" s="180">
        <f>E80-E81</f>
        <v>0</v>
      </c>
      <c r="F82" s="26"/>
      <c r="G82" s="26"/>
      <c r="H82" s="26"/>
      <c r="I82" s="26"/>
      <c r="J82" s="26"/>
      <c r="K82" s="26"/>
      <c r="L82" s="26"/>
      <c r="M82" s="26"/>
    </row>
    <row r="83" spans="1:13" ht="13.5" thickBot="1">
      <c r="E83" s="46"/>
    </row>
    <row r="84" spans="1:13" ht="13.5" thickTop="1">
      <c r="C84" s="203" t="s">
        <v>11</v>
      </c>
      <c r="D84" s="208"/>
      <c r="E84" s="204"/>
      <c r="F84" s="203" t="s">
        <v>14</v>
      </c>
      <c r="G84" s="204"/>
      <c r="H84" s="203" t="s">
        <v>15</v>
      </c>
      <c r="I84" s="204"/>
      <c r="J84" s="203" t="s">
        <v>16</v>
      </c>
      <c r="K84" s="204"/>
      <c r="L84" s="203" t="s">
        <v>17</v>
      </c>
      <c r="M84" s="204"/>
    </row>
    <row r="85" spans="1:13" ht="13.5" thickBot="1">
      <c r="C85" s="34" t="s">
        <v>12</v>
      </c>
      <c r="D85" s="35" t="s">
        <v>10</v>
      </c>
      <c r="E85" s="36" t="s">
        <v>13</v>
      </c>
      <c r="F85" s="34" t="s">
        <v>12</v>
      </c>
      <c r="G85" s="36" t="s">
        <v>13</v>
      </c>
      <c r="H85" s="34" t="s">
        <v>12</v>
      </c>
      <c r="I85" s="36" t="s">
        <v>13</v>
      </c>
      <c r="J85" s="34" t="s">
        <v>12</v>
      </c>
      <c r="K85" s="36" t="s">
        <v>13</v>
      </c>
      <c r="L85" s="34" t="s">
        <v>12</v>
      </c>
      <c r="M85" s="36" t="s">
        <v>13</v>
      </c>
    </row>
    <row r="86" spans="1:13" ht="13.5" thickTop="1">
      <c r="A86" s="205" t="s">
        <v>66</v>
      </c>
      <c r="B86" s="41" t="s">
        <v>42</v>
      </c>
      <c r="C86" s="40">
        <f>+H20</f>
        <v>29904.74</v>
      </c>
      <c r="D86" s="3">
        <f>+K5</f>
        <v>4.0000000000000001E-3</v>
      </c>
      <c r="E86" s="17">
        <f>+C86*$D86</f>
        <v>119.61896000000002</v>
      </c>
      <c r="F86" s="18"/>
      <c r="G86" s="17">
        <f>+F86*$D86</f>
        <v>0</v>
      </c>
      <c r="H86" s="18"/>
      <c r="I86" s="17">
        <f>+H86*$D86</f>
        <v>0</v>
      </c>
      <c r="J86" s="18">
        <v>9639</v>
      </c>
      <c r="K86" s="17">
        <f>+J86*$D86</f>
        <v>38.555999999999997</v>
      </c>
      <c r="L86" s="198">
        <f>C86-J86</f>
        <v>20265.740000000002</v>
      </c>
      <c r="M86" s="17">
        <f>+L86*$D86</f>
        <v>81.062960000000004</v>
      </c>
    </row>
    <row r="87" spans="1:13">
      <c r="A87" s="206"/>
      <c r="B87" s="42" t="s">
        <v>43</v>
      </c>
      <c r="C87" s="26">
        <f>I11</f>
        <v>0</v>
      </c>
      <c r="D87" s="3">
        <v>0</v>
      </c>
      <c r="E87" s="17">
        <f>+C87*$D87</f>
        <v>0</v>
      </c>
      <c r="F87" s="18"/>
      <c r="G87" s="17">
        <f>+F87*$D87</f>
        <v>0</v>
      </c>
      <c r="H87" s="18"/>
      <c r="I87" s="17">
        <f>H87*D87</f>
        <v>0</v>
      </c>
      <c r="J87" s="18"/>
      <c r="K87" s="17">
        <f>+J87*$D87</f>
        <v>0</v>
      </c>
      <c r="L87" s="18"/>
      <c r="M87" s="17">
        <f>+L87*$D87</f>
        <v>0</v>
      </c>
    </row>
    <row r="88" spans="1:13">
      <c r="A88" s="206"/>
      <c r="B88" s="59" t="s">
        <v>45</v>
      </c>
      <c r="C88" s="26"/>
      <c r="D88" s="3">
        <v>0</v>
      </c>
      <c r="E88" s="17">
        <f>+C88*$D88</f>
        <v>0</v>
      </c>
      <c r="F88" s="18"/>
      <c r="G88" s="17">
        <f>+F88*$D88</f>
        <v>0</v>
      </c>
      <c r="H88" s="18"/>
      <c r="I88" s="17">
        <f>H88*D88</f>
        <v>0</v>
      </c>
      <c r="J88" s="18"/>
      <c r="K88" s="17">
        <f>+J88*$D88</f>
        <v>0</v>
      </c>
      <c r="L88" s="18"/>
      <c r="M88" s="17">
        <f>+L88*$D88</f>
        <v>0</v>
      </c>
    </row>
    <row r="89" spans="1:13">
      <c r="A89" s="206"/>
      <c r="B89" s="59"/>
      <c r="C89" s="26"/>
      <c r="D89" s="3"/>
      <c r="E89" s="17"/>
      <c r="F89" s="18"/>
      <c r="G89" s="17"/>
      <c r="H89" s="18"/>
      <c r="I89" s="17"/>
      <c r="J89" s="18"/>
      <c r="K89" s="17"/>
      <c r="L89" s="18"/>
      <c r="M89" s="17"/>
    </row>
    <row r="90" spans="1:13">
      <c r="A90" s="206"/>
      <c r="B90" s="141" t="s">
        <v>119</v>
      </c>
      <c r="C90" s="142">
        <f>I28</f>
        <v>1900.6</v>
      </c>
      <c r="D90" s="143">
        <f>D86</f>
        <v>4.0000000000000001E-3</v>
      </c>
      <c r="E90" s="17">
        <f>+C90*$D90</f>
        <v>7.6023999999999994</v>
      </c>
      <c r="F90" s="18"/>
      <c r="G90" s="17"/>
      <c r="H90" s="18"/>
      <c r="I90" s="17"/>
      <c r="J90" s="18"/>
      <c r="K90" s="17"/>
      <c r="L90" s="18">
        <v>1901</v>
      </c>
      <c r="M90" s="17">
        <f>+L90*0.4/100</f>
        <v>7.604000000000001</v>
      </c>
    </row>
    <row r="91" spans="1:13" ht="13.5" thickBot="1">
      <c r="A91" s="207"/>
      <c r="B91" s="43"/>
      <c r="C91" s="37"/>
      <c r="D91" s="9"/>
      <c r="E91" s="23">
        <f>SUM(E86:E90)</f>
        <v>127.22136000000002</v>
      </c>
      <c r="F91" s="22"/>
      <c r="G91" s="24">
        <f>SUM(G86:G90)</f>
        <v>0</v>
      </c>
      <c r="H91" s="22"/>
      <c r="I91" s="24">
        <f>SUM(I86:I90)</f>
        <v>0</v>
      </c>
      <c r="J91" s="22"/>
      <c r="K91" s="24">
        <f>SUM(K86:K90)</f>
        <v>38.555999999999997</v>
      </c>
      <c r="L91" s="22"/>
      <c r="M91" s="24">
        <f>SUM(M86:M90)</f>
        <v>88.666960000000003</v>
      </c>
    </row>
    <row r="92" spans="1:13">
      <c r="C92" s="175" t="s">
        <v>50</v>
      </c>
      <c r="D92" s="176"/>
      <c r="E92" s="177">
        <f>SUM(G91,I91,K91,M91)</f>
        <v>127.22296</v>
      </c>
    </row>
    <row r="93" spans="1:13" ht="13.5" thickBot="1">
      <c r="C93" s="178" t="s">
        <v>51</v>
      </c>
      <c r="D93" s="179"/>
      <c r="E93" s="180">
        <f>E91-E92</f>
        <v>-1.5999999999820602E-3</v>
      </c>
      <c r="M93" s="46">
        <f>+M80+M91</f>
        <v>2013.9122600000003</v>
      </c>
    </row>
    <row r="95" spans="1:13">
      <c r="E95" s="46">
        <f>+E82+E93</f>
        <v>-1.5999999999820602E-3</v>
      </c>
    </row>
  </sheetData>
  <mergeCells count="32">
    <mergeCell ref="J51:K51"/>
    <mergeCell ref="L51:M51"/>
    <mergeCell ref="A53:A58"/>
    <mergeCell ref="A11:G11"/>
    <mergeCell ref="A20:G20"/>
    <mergeCell ref="A21:G21"/>
    <mergeCell ref="F51:G51"/>
    <mergeCell ref="A25:G25"/>
    <mergeCell ref="A28:G28"/>
    <mergeCell ref="G48:J48"/>
    <mergeCell ref="A1:M1"/>
    <mergeCell ref="A23:G23"/>
    <mergeCell ref="A64:A80"/>
    <mergeCell ref="C62:E62"/>
    <mergeCell ref="F62:G62"/>
    <mergeCell ref="C31:E31"/>
    <mergeCell ref="F31:G31"/>
    <mergeCell ref="C51:E51"/>
    <mergeCell ref="J62:K62"/>
    <mergeCell ref="A33:A47"/>
    <mergeCell ref="L62:M62"/>
    <mergeCell ref="H31:I31"/>
    <mergeCell ref="J31:K31"/>
    <mergeCell ref="L31:M31"/>
    <mergeCell ref="H51:I51"/>
    <mergeCell ref="H62:I62"/>
    <mergeCell ref="L84:M84"/>
    <mergeCell ref="A86:A91"/>
    <mergeCell ref="C84:E84"/>
    <mergeCell ref="F84:G84"/>
    <mergeCell ref="H84:I84"/>
    <mergeCell ref="J84:K84"/>
  </mergeCells>
  <phoneticPr fontId="2" type="noConversion"/>
  <printOptions horizontalCentered="1"/>
  <pageMargins left="0.2" right="0.19" top="0.19685039370078741" bottom="0.19685039370078741" header="0.15748031496062992" footer="0.15748031496062992"/>
  <pageSetup paperSize="9" scale="61" fitToHeight="2" orientation="landscape" r:id="rId1"/>
  <headerFooter alignWithMargins="0"/>
  <rowBreaks count="1" manualBreakCount="1">
    <brk id="59" max="14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1"/>
  <sheetViews>
    <sheetView workbookViewId="0">
      <selection activeCell="G23" sqref="G23"/>
    </sheetView>
  </sheetViews>
  <sheetFormatPr baseColWidth="10" defaultRowHeight="12.75"/>
  <cols>
    <col min="1" max="1" width="22.85546875" customWidth="1"/>
    <col min="6" max="6" width="13.42578125" bestFit="1" customWidth="1"/>
    <col min="7" max="7" width="13.28515625" bestFit="1" customWidth="1"/>
  </cols>
  <sheetData>
    <row r="1" spans="1:9">
      <c r="A1" s="242" t="s">
        <v>89</v>
      </c>
      <c r="B1" s="242"/>
      <c r="C1" s="242"/>
      <c r="D1" s="242"/>
      <c r="E1" s="242"/>
      <c r="F1" s="242"/>
      <c r="G1" s="242"/>
      <c r="H1" s="242"/>
      <c r="I1" s="242"/>
    </row>
    <row r="2" spans="1:9">
      <c r="A2" s="85"/>
      <c r="I2" s="1"/>
    </row>
    <row r="3" spans="1:9">
      <c r="A3" t="s">
        <v>90</v>
      </c>
      <c r="B3">
        <v>8.7100000000000009</v>
      </c>
      <c r="I3" s="1"/>
    </row>
    <row r="4" spans="1:9">
      <c r="A4" t="s">
        <v>91</v>
      </c>
      <c r="B4">
        <v>8.82</v>
      </c>
      <c r="I4" s="1"/>
    </row>
    <row r="5" spans="1:9">
      <c r="I5" s="1"/>
    </row>
    <row r="6" spans="1:9">
      <c r="A6" t="s">
        <v>92</v>
      </c>
      <c r="I6" s="1"/>
    </row>
    <row r="7" spans="1:9">
      <c r="I7" s="1"/>
    </row>
    <row r="8" spans="1:9">
      <c r="A8" s="108" t="s">
        <v>93</v>
      </c>
      <c r="B8" s="108"/>
      <c r="C8" s="108"/>
      <c r="D8" s="108"/>
      <c r="E8" s="108"/>
      <c r="F8" s="108"/>
      <c r="I8" s="1"/>
    </row>
    <row r="9" spans="1:9">
      <c r="I9" s="1"/>
    </row>
    <row r="10" spans="1:9">
      <c r="B10" s="100" t="s">
        <v>115</v>
      </c>
      <c r="C10" s="100"/>
      <c r="D10" s="100"/>
      <c r="E10" s="100"/>
      <c r="F10" s="100" t="s">
        <v>116</v>
      </c>
      <c r="G10" s="100"/>
      <c r="H10" s="100" t="s">
        <v>117</v>
      </c>
      <c r="I10" s="100"/>
    </row>
    <row r="11" spans="1:9">
      <c r="B11" s="109" t="s">
        <v>94</v>
      </c>
      <c r="C11" s="110" t="s">
        <v>95</v>
      </c>
      <c r="D11" s="110" t="s">
        <v>96</v>
      </c>
      <c r="E11" s="110" t="s">
        <v>96</v>
      </c>
      <c r="F11" s="109" t="s">
        <v>97</v>
      </c>
      <c r="G11" s="110" t="s">
        <v>96</v>
      </c>
      <c r="H11" s="109" t="s">
        <v>98</v>
      </c>
      <c r="I11" s="111" t="s">
        <v>99</v>
      </c>
    </row>
    <row r="12" spans="1:9">
      <c r="B12" s="112" t="s">
        <v>100</v>
      </c>
      <c r="C12" s="113"/>
      <c r="D12" s="113" t="s">
        <v>100</v>
      </c>
      <c r="E12" s="114"/>
      <c r="F12" s="112"/>
      <c r="G12" s="114" t="s">
        <v>101</v>
      </c>
      <c r="H12" s="112"/>
      <c r="I12" s="115"/>
    </row>
    <row r="13" spans="1:9">
      <c r="A13" s="110" t="s">
        <v>102</v>
      </c>
      <c r="B13" s="116"/>
      <c r="C13" s="117">
        <f t="shared" ref="C13:C24" si="0">+B13%*$B$4*169</f>
        <v>0</v>
      </c>
      <c r="D13" s="117">
        <f>IF(B13=0,0,+B13-11)</f>
        <v>0</v>
      </c>
      <c r="E13" s="118">
        <f>ROUND(D13%*169*$B$3,0)</f>
        <v>0</v>
      </c>
      <c r="F13" s="119"/>
      <c r="G13" s="120">
        <f>+E13-E13*F13/30</f>
        <v>0</v>
      </c>
      <c r="H13" s="121"/>
      <c r="I13" s="122">
        <f>+G13-H13</f>
        <v>0</v>
      </c>
    </row>
    <row r="14" spans="1:9">
      <c r="A14" s="114" t="s">
        <v>103</v>
      </c>
      <c r="B14" s="123"/>
      <c r="C14" s="117">
        <f t="shared" si="0"/>
        <v>0</v>
      </c>
      <c r="D14" s="117">
        <f t="shared" ref="D14:D24" si="1">IF(B14=0,0,+B14-11)</f>
        <v>0</v>
      </c>
      <c r="E14" s="124">
        <f t="shared" ref="E14:E21" si="2">ROUND(D14%*169*$B$3,0)</f>
        <v>0</v>
      </c>
      <c r="F14" s="125"/>
      <c r="G14" s="126">
        <f t="shared" ref="G14:G24" si="3">+E14-E14*F14/30</f>
        <v>0</v>
      </c>
      <c r="H14" s="127"/>
      <c r="I14" s="128">
        <f t="shared" ref="I14:I24" si="4">+G14-H14</f>
        <v>0</v>
      </c>
    </row>
    <row r="15" spans="1:9">
      <c r="A15" s="114" t="s">
        <v>104</v>
      </c>
      <c r="B15" s="123"/>
      <c r="C15" s="117">
        <f t="shared" si="0"/>
        <v>0</v>
      </c>
      <c r="D15" s="117">
        <f t="shared" si="1"/>
        <v>0</v>
      </c>
      <c r="E15" s="124">
        <f t="shared" si="2"/>
        <v>0</v>
      </c>
      <c r="F15" s="125"/>
      <c r="G15" s="126">
        <f t="shared" si="3"/>
        <v>0</v>
      </c>
      <c r="H15" s="127"/>
      <c r="I15" s="128">
        <f t="shared" si="4"/>
        <v>0</v>
      </c>
    </row>
    <row r="16" spans="1:9">
      <c r="A16" s="114" t="s">
        <v>105</v>
      </c>
      <c r="B16" s="123"/>
      <c r="C16" s="117">
        <f t="shared" si="0"/>
        <v>0</v>
      </c>
      <c r="D16" s="117">
        <f t="shared" si="1"/>
        <v>0</v>
      </c>
      <c r="E16" s="124">
        <f t="shared" si="2"/>
        <v>0</v>
      </c>
      <c r="F16" s="125"/>
      <c r="G16" s="126">
        <f t="shared" si="3"/>
        <v>0</v>
      </c>
      <c r="H16" s="127"/>
      <c r="I16" s="128">
        <f t="shared" si="4"/>
        <v>0</v>
      </c>
    </row>
    <row r="17" spans="1:9">
      <c r="A17" s="114" t="s">
        <v>106</v>
      </c>
      <c r="B17" s="123"/>
      <c r="C17" s="117">
        <f t="shared" si="0"/>
        <v>0</v>
      </c>
      <c r="D17" s="117">
        <f t="shared" si="1"/>
        <v>0</v>
      </c>
      <c r="E17" s="124">
        <f t="shared" si="2"/>
        <v>0</v>
      </c>
      <c r="F17" s="125"/>
      <c r="G17" s="126">
        <f t="shared" si="3"/>
        <v>0</v>
      </c>
      <c r="H17" s="127"/>
      <c r="I17" s="128">
        <f t="shared" si="4"/>
        <v>0</v>
      </c>
    </row>
    <row r="18" spans="1:9">
      <c r="A18" s="114" t="s">
        <v>107</v>
      </c>
      <c r="B18" s="123"/>
      <c r="C18" s="117">
        <f t="shared" si="0"/>
        <v>0</v>
      </c>
      <c r="D18" s="117">
        <f t="shared" si="1"/>
        <v>0</v>
      </c>
      <c r="E18" s="124">
        <f t="shared" si="2"/>
        <v>0</v>
      </c>
      <c r="F18" s="125"/>
      <c r="G18" s="126">
        <f t="shared" si="3"/>
        <v>0</v>
      </c>
      <c r="H18" s="127"/>
      <c r="I18" s="128">
        <f t="shared" si="4"/>
        <v>0</v>
      </c>
    </row>
    <row r="19" spans="1:9">
      <c r="A19" s="114" t="s">
        <v>108</v>
      </c>
      <c r="B19" s="123"/>
      <c r="C19" s="117">
        <f t="shared" si="0"/>
        <v>0</v>
      </c>
      <c r="D19" s="117">
        <f t="shared" si="1"/>
        <v>0</v>
      </c>
      <c r="E19" s="124">
        <f t="shared" si="2"/>
        <v>0</v>
      </c>
      <c r="F19" s="125"/>
      <c r="G19" s="126">
        <f t="shared" si="3"/>
        <v>0</v>
      </c>
      <c r="H19" s="127"/>
      <c r="I19" s="128">
        <f t="shared" si="4"/>
        <v>0</v>
      </c>
    </row>
    <row r="20" spans="1:9">
      <c r="A20" s="114" t="s">
        <v>109</v>
      </c>
      <c r="B20" s="123"/>
      <c r="C20" s="117">
        <f t="shared" si="0"/>
        <v>0</v>
      </c>
      <c r="D20" s="117">
        <f t="shared" si="1"/>
        <v>0</v>
      </c>
      <c r="E20" s="124">
        <f t="shared" si="2"/>
        <v>0</v>
      </c>
      <c r="F20" s="125"/>
      <c r="G20" s="126">
        <f t="shared" si="3"/>
        <v>0</v>
      </c>
      <c r="H20" s="127"/>
      <c r="I20" s="128">
        <f t="shared" si="4"/>
        <v>0</v>
      </c>
    </row>
    <row r="21" spans="1:9">
      <c r="A21" s="114" t="s">
        <v>110</v>
      </c>
      <c r="B21" s="123">
        <v>49</v>
      </c>
      <c r="C21" s="117">
        <f t="shared" si="0"/>
        <v>730.38419999999996</v>
      </c>
      <c r="D21" s="117">
        <f t="shared" si="1"/>
        <v>38</v>
      </c>
      <c r="E21" s="124">
        <f t="shared" si="2"/>
        <v>559</v>
      </c>
      <c r="F21" s="125">
        <v>17</v>
      </c>
      <c r="G21" s="126">
        <f>+E21-E21*F21/30</f>
        <v>242.23333333333335</v>
      </c>
      <c r="H21" s="127">
        <v>0</v>
      </c>
      <c r="I21" s="128">
        <f t="shared" si="4"/>
        <v>242.23333333333335</v>
      </c>
    </row>
    <row r="22" spans="1:9">
      <c r="A22" s="114" t="s">
        <v>111</v>
      </c>
      <c r="B22" s="123">
        <v>49</v>
      </c>
      <c r="C22" s="117">
        <f>+B22%*$B$4*169</f>
        <v>730.38419999999996</v>
      </c>
      <c r="D22" s="117">
        <f t="shared" si="1"/>
        <v>38</v>
      </c>
      <c r="E22" s="124">
        <f>ROUND(D22%*169*$B$3,0)</f>
        <v>559</v>
      </c>
      <c r="F22" s="125"/>
      <c r="G22" s="126">
        <f>+E22-E22*F22/30</f>
        <v>559</v>
      </c>
      <c r="H22" s="127">
        <v>542</v>
      </c>
      <c r="I22" s="128">
        <f t="shared" si="4"/>
        <v>17</v>
      </c>
    </row>
    <row r="23" spans="1:9">
      <c r="A23" s="114" t="s">
        <v>112</v>
      </c>
      <c r="B23" s="123">
        <v>49</v>
      </c>
      <c r="C23" s="117">
        <f t="shared" si="0"/>
        <v>730.38419999999996</v>
      </c>
      <c r="D23" s="117">
        <f t="shared" si="1"/>
        <v>38</v>
      </c>
      <c r="E23" s="124">
        <f>ROUND(D23%*169*$B$3,0)</f>
        <v>559</v>
      </c>
      <c r="F23" s="125">
        <v>1</v>
      </c>
      <c r="G23" s="126">
        <f t="shared" si="3"/>
        <v>540.36666666666667</v>
      </c>
      <c r="H23" s="127">
        <v>542</v>
      </c>
      <c r="I23" s="128">
        <f t="shared" si="4"/>
        <v>-1.6333333333333258</v>
      </c>
    </row>
    <row r="24" spans="1:9">
      <c r="A24" s="113" t="s">
        <v>113</v>
      </c>
      <c r="B24" s="129">
        <v>49</v>
      </c>
      <c r="C24" s="130">
        <f t="shared" si="0"/>
        <v>730.38419999999996</v>
      </c>
      <c r="D24" s="130">
        <f t="shared" si="1"/>
        <v>38</v>
      </c>
      <c r="E24" s="131">
        <f>ROUND(D24%*169*$B$3,0)</f>
        <v>559</v>
      </c>
      <c r="F24" s="132"/>
      <c r="G24" s="133">
        <f t="shared" si="3"/>
        <v>559</v>
      </c>
      <c r="H24" s="134">
        <v>542</v>
      </c>
      <c r="I24" s="135">
        <f t="shared" si="4"/>
        <v>17</v>
      </c>
    </row>
    <row r="25" spans="1:9">
      <c r="F25" s="136" t="s">
        <v>9</v>
      </c>
      <c r="G25" s="137">
        <f>SUM(G13:G24)</f>
        <v>1900.6</v>
      </c>
      <c r="H25" s="137">
        <f>SUM(H13:H24)</f>
        <v>1626</v>
      </c>
      <c r="I25" s="138">
        <f>SUM(I13:I24)</f>
        <v>274.60000000000002</v>
      </c>
    </row>
    <row r="26" spans="1:9">
      <c r="I26" s="1"/>
    </row>
    <row r="27" spans="1:9">
      <c r="A27" s="85" t="s">
        <v>114</v>
      </c>
      <c r="B27" s="85"/>
      <c r="C27" s="85"/>
      <c r="D27" s="85"/>
      <c r="E27" s="139">
        <f>G25</f>
        <v>1900.6</v>
      </c>
      <c r="I27" s="1"/>
    </row>
    <row r="28" spans="1:9">
      <c r="I28" s="1"/>
    </row>
    <row r="29" spans="1:9">
      <c r="I29" s="1"/>
    </row>
    <row r="30" spans="1:9">
      <c r="A30" s="85"/>
      <c r="I30" s="1"/>
    </row>
    <row r="31" spans="1:9">
      <c r="B31" s="46"/>
      <c r="C31" s="140"/>
      <c r="D31" s="64"/>
      <c r="I31" s="1"/>
    </row>
  </sheetData>
  <mergeCells count="1">
    <mergeCell ref="A1:I1"/>
  </mergeCells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1:N70"/>
  <sheetViews>
    <sheetView topLeftCell="B33" zoomScale="115" zoomScaleNormal="115" workbookViewId="0">
      <selection activeCell="L56" sqref="L56"/>
    </sheetView>
  </sheetViews>
  <sheetFormatPr baseColWidth="10" defaultRowHeight="12.75"/>
  <cols>
    <col min="3" max="3" width="14.42578125" customWidth="1"/>
    <col min="4" max="4" width="14.140625" customWidth="1"/>
    <col min="5" max="5" width="10.28515625" customWidth="1"/>
    <col min="6" max="6" width="13.42578125" bestFit="1" customWidth="1"/>
    <col min="7" max="7" width="11.42578125" style="146"/>
  </cols>
  <sheetData>
    <row r="1" spans="2:11">
      <c r="C1" s="144" t="s">
        <v>120</v>
      </c>
      <c r="D1" s="145"/>
    </row>
    <row r="4" spans="2:11">
      <c r="F4" t="s">
        <v>121</v>
      </c>
      <c r="H4" s="147">
        <f>151.67*8.71</f>
        <v>1321.0457000000001</v>
      </c>
    </row>
    <row r="5" spans="2:11">
      <c r="F5" t="s">
        <v>122</v>
      </c>
      <c r="H5" s="147">
        <f>H4*1.6</f>
        <v>2113.6731200000004</v>
      </c>
    </row>
    <row r="8" spans="2:11" s="85" customFormat="1">
      <c r="B8" s="148" t="s">
        <v>123</v>
      </c>
      <c r="C8" s="148" t="s">
        <v>124</v>
      </c>
      <c r="D8" s="149" t="s">
        <v>125</v>
      </c>
      <c r="E8" s="149" t="s">
        <v>126</v>
      </c>
      <c r="F8" s="150" t="s">
        <v>127</v>
      </c>
      <c r="G8" s="149" t="s">
        <v>128</v>
      </c>
      <c r="H8" s="136" t="s">
        <v>129</v>
      </c>
      <c r="I8" s="151" t="s">
        <v>130</v>
      </c>
      <c r="J8" s="152" t="s">
        <v>131</v>
      </c>
      <c r="K8" s="150" t="s">
        <v>132</v>
      </c>
    </row>
    <row r="9" spans="2:11">
      <c r="B9" s="153"/>
      <c r="C9" s="153"/>
      <c r="D9" s="153"/>
      <c r="E9" s="153"/>
      <c r="F9" s="110">
        <f t="shared" ref="F9:F20" si="0">D9-E9</f>
        <v>0</v>
      </c>
      <c r="G9" s="153"/>
      <c r="H9" s="154" t="e">
        <f t="shared" ref="H9:H20" si="1">F9/G9</f>
        <v>#DIV/0!</v>
      </c>
      <c r="I9" s="155" t="e">
        <f>IF((0.281/0.6*(((1.6*$H$4*G9/151.67)/F9)-1))&lt;0.281,(0.281/0.6*(((1.6*$H$4*G9/151.67)/F9)-1)),0.281)</f>
        <v>#DIV/0!</v>
      </c>
      <c r="J9" s="156" t="e">
        <f>IF(I9&gt;0,ROUND(I9,3),0)</f>
        <v>#DIV/0!</v>
      </c>
      <c r="K9" s="157" t="e">
        <f t="shared" ref="K9:K20" si="2">D9*J9</f>
        <v>#DIV/0!</v>
      </c>
    </row>
    <row r="10" spans="2:11">
      <c r="B10" s="153"/>
      <c r="C10" s="153"/>
      <c r="D10" s="153"/>
      <c r="E10" s="153"/>
      <c r="F10" s="114">
        <f t="shared" si="0"/>
        <v>0</v>
      </c>
      <c r="G10" s="153"/>
      <c r="H10" s="154" t="e">
        <f t="shared" si="1"/>
        <v>#DIV/0!</v>
      </c>
      <c r="I10" s="158" t="e">
        <f t="shared" ref="I10:I20" si="3">IF((0.281/0.6*(((1.6*$H$4*G10/151.67)/F10)-1))&lt;0.281,(0.281/0.6*(((1.6*$H$4*G10/151.67)/F10)-1)),0.281)</f>
        <v>#DIV/0!</v>
      </c>
      <c r="J10" s="159" t="e">
        <f>IF(I10&gt;0,ROUND(I10,3),0)</f>
        <v>#DIV/0!</v>
      </c>
      <c r="K10" s="160" t="e">
        <f t="shared" si="2"/>
        <v>#DIV/0!</v>
      </c>
    </row>
    <row r="11" spans="2:11">
      <c r="B11" s="153"/>
      <c r="C11" s="153"/>
      <c r="D11" s="153"/>
      <c r="E11" s="153"/>
      <c r="F11" s="114">
        <f t="shared" si="0"/>
        <v>0</v>
      </c>
      <c r="G11" s="153"/>
      <c r="H11" s="154" t="e">
        <f t="shared" si="1"/>
        <v>#DIV/0!</v>
      </c>
      <c r="I11" s="158" t="e">
        <f t="shared" si="3"/>
        <v>#DIV/0!</v>
      </c>
      <c r="J11" s="159" t="e">
        <f t="shared" ref="J11:J20" si="4">IF(I11&gt;0,ROUND(I11,3),0)</f>
        <v>#DIV/0!</v>
      </c>
      <c r="K11" s="160" t="e">
        <f t="shared" si="2"/>
        <v>#DIV/0!</v>
      </c>
    </row>
    <row r="12" spans="2:11">
      <c r="B12" s="153"/>
      <c r="C12" s="153"/>
      <c r="D12" s="153"/>
      <c r="E12" s="153"/>
      <c r="F12" s="114">
        <f t="shared" si="0"/>
        <v>0</v>
      </c>
      <c r="G12" s="153"/>
      <c r="H12" s="154" t="e">
        <f t="shared" si="1"/>
        <v>#DIV/0!</v>
      </c>
      <c r="I12" s="158" t="e">
        <f t="shared" si="3"/>
        <v>#DIV/0!</v>
      </c>
      <c r="J12" s="159" t="e">
        <f t="shared" si="4"/>
        <v>#DIV/0!</v>
      </c>
      <c r="K12" s="160" t="e">
        <f t="shared" si="2"/>
        <v>#DIV/0!</v>
      </c>
    </row>
    <row r="13" spans="2:11">
      <c r="B13" s="153"/>
      <c r="C13" s="153"/>
      <c r="D13" s="153"/>
      <c r="E13" s="153"/>
      <c r="F13" s="114">
        <f t="shared" si="0"/>
        <v>0</v>
      </c>
      <c r="G13" s="153"/>
      <c r="H13" s="154" t="e">
        <f t="shared" si="1"/>
        <v>#DIV/0!</v>
      </c>
      <c r="I13" s="158" t="e">
        <f t="shared" si="3"/>
        <v>#DIV/0!</v>
      </c>
      <c r="J13" s="159" t="e">
        <f t="shared" si="4"/>
        <v>#DIV/0!</v>
      </c>
      <c r="K13" s="160" t="e">
        <f t="shared" si="2"/>
        <v>#DIV/0!</v>
      </c>
    </row>
    <row r="14" spans="2:11">
      <c r="B14" s="153"/>
      <c r="C14" s="153"/>
      <c r="D14" s="153"/>
      <c r="E14" s="153"/>
      <c r="F14" s="114">
        <f t="shared" si="0"/>
        <v>0</v>
      </c>
      <c r="G14" s="153"/>
      <c r="H14" s="154" t="e">
        <f t="shared" si="1"/>
        <v>#DIV/0!</v>
      </c>
      <c r="I14" s="158" t="e">
        <f t="shared" si="3"/>
        <v>#DIV/0!</v>
      </c>
      <c r="J14" s="159" t="e">
        <f t="shared" si="4"/>
        <v>#DIV/0!</v>
      </c>
      <c r="K14" s="160" t="e">
        <f t="shared" si="2"/>
        <v>#DIV/0!</v>
      </c>
    </row>
    <row r="15" spans="2:11">
      <c r="B15" s="153"/>
      <c r="C15" s="153"/>
      <c r="D15" s="153"/>
      <c r="E15" s="153"/>
      <c r="F15" s="114">
        <f t="shared" si="0"/>
        <v>0</v>
      </c>
      <c r="G15" s="153"/>
      <c r="H15" s="154" t="e">
        <f t="shared" si="1"/>
        <v>#DIV/0!</v>
      </c>
      <c r="I15" s="158" t="e">
        <f t="shared" si="3"/>
        <v>#DIV/0!</v>
      </c>
      <c r="J15" s="159" t="e">
        <f t="shared" si="4"/>
        <v>#DIV/0!</v>
      </c>
      <c r="K15" s="160" t="e">
        <f t="shared" si="2"/>
        <v>#DIV/0!</v>
      </c>
    </row>
    <row r="16" spans="2:11" s="85" customFormat="1">
      <c r="B16" s="161"/>
      <c r="C16" s="161"/>
      <c r="D16" s="161"/>
      <c r="E16" s="161"/>
      <c r="F16" s="114">
        <f t="shared" si="0"/>
        <v>0</v>
      </c>
      <c r="G16" s="161"/>
      <c r="H16" s="162" t="e">
        <f t="shared" si="1"/>
        <v>#DIV/0!</v>
      </c>
      <c r="I16" s="158" t="e">
        <f t="shared" si="3"/>
        <v>#DIV/0!</v>
      </c>
      <c r="J16" s="159" t="e">
        <f t="shared" si="4"/>
        <v>#DIV/0!</v>
      </c>
      <c r="K16" s="160" t="e">
        <f t="shared" si="2"/>
        <v>#DIV/0!</v>
      </c>
    </row>
    <row r="17" spans="2:11">
      <c r="B17" s="153"/>
      <c r="C17" s="153"/>
      <c r="D17" s="153"/>
      <c r="E17" s="153"/>
      <c r="F17" s="114">
        <f t="shared" si="0"/>
        <v>0</v>
      </c>
      <c r="G17" s="153"/>
      <c r="H17" s="154" t="e">
        <f t="shared" si="1"/>
        <v>#DIV/0!</v>
      </c>
      <c r="I17" s="158" t="e">
        <f t="shared" si="3"/>
        <v>#DIV/0!</v>
      </c>
      <c r="J17" s="159" t="e">
        <f t="shared" si="4"/>
        <v>#DIV/0!</v>
      </c>
      <c r="K17" s="160" t="e">
        <f t="shared" si="2"/>
        <v>#DIV/0!</v>
      </c>
    </row>
    <row r="18" spans="2:11" s="85" customFormat="1">
      <c r="B18" s="161"/>
      <c r="C18" s="161"/>
      <c r="D18" s="161"/>
      <c r="E18" s="161"/>
      <c r="F18" s="114">
        <f t="shared" si="0"/>
        <v>0</v>
      </c>
      <c r="G18" s="161"/>
      <c r="H18" s="162" t="e">
        <f t="shared" si="1"/>
        <v>#DIV/0!</v>
      </c>
      <c r="I18" s="158" t="e">
        <f t="shared" si="3"/>
        <v>#DIV/0!</v>
      </c>
      <c r="J18" s="159" t="e">
        <f t="shared" si="4"/>
        <v>#DIV/0!</v>
      </c>
      <c r="K18" s="160" t="e">
        <f t="shared" si="2"/>
        <v>#DIV/0!</v>
      </c>
    </row>
    <row r="19" spans="2:11" s="85" customFormat="1">
      <c r="B19" s="161"/>
      <c r="C19" s="161"/>
      <c r="D19" s="161"/>
      <c r="E19" s="161"/>
      <c r="F19" s="114">
        <f t="shared" si="0"/>
        <v>0</v>
      </c>
      <c r="G19" s="161"/>
      <c r="H19" s="162" t="e">
        <f t="shared" si="1"/>
        <v>#DIV/0!</v>
      </c>
      <c r="I19" s="158" t="e">
        <f t="shared" si="3"/>
        <v>#DIV/0!</v>
      </c>
      <c r="J19" s="159" t="e">
        <f t="shared" si="4"/>
        <v>#DIV/0!</v>
      </c>
      <c r="K19" s="160" t="e">
        <f t="shared" si="2"/>
        <v>#DIV/0!</v>
      </c>
    </row>
    <row r="20" spans="2:11">
      <c r="B20" s="163"/>
      <c r="C20" s="163"/>
      <c r="D20" s="163"/>
      <c r="E20" s="163"/>
      <c r="F20" s="113">
        <f t="shared" si="0"/>
        <v>0</v>
      </c>
      <c r="G20" s="163"/>
      <c r="H20" s="164" t="e">
        <f t="shared" si="1"/>
        <v>#DIV/0!</v>
      </c>
      <c r="I20" s="165" t="e">
        <f t="shared" si="3"/>
        <v>#DIV/0!</v>
      </c>
      <c r="J20" s="166" t="e">
        <f t="shared" si="4"/>
        <v>#DIV/0!</v>
      </c>
      <c r="K20" s="167" t="e">
        <f t="shared" si="2"/>
        <v>#DIV/0!</v>
      </c>
    </row>
    <row r="21" spans="2:11">
      <c r="H21" s="147"/>
    </row>
    <row r="22" spans="2:11">
      <c r="K22" s="147" t="e">
        <f>SUM(K9:K21)</f>
        <v>#DIV/0!</v>
      </c>
    </row>
    <row r="30" spans="2:11">
      <c r="C30" s="144" t="s">
        <v>133</v>
      </c>
      <c r="D30" s="145"/>
    </row>
    <row r="33" spans="2:14">
      <c r="F33" t="s">
        <v>121</v>
      </c>
      <c r="H33" s="147">
        <f>151.67*8.82</f>
        <v>1337.7293999999999</v>
      </c>
    </row>
    <row r="34" spans="2:14">
      <c r="F34" t="s">
        <v>122</v>
      </c>
      <c r="H34" s="147">
        <f>H33*1.6</f>
        <v>2140.3670400000001</v>
      </c>
    </row>
    <row r="37" spans="2:14">
      <c r="B37" s="148" t="s">
        <v>123</v>
      </c>
      <c r="C37" s="148" t="s">
        <v>124</v>
      </c>
      <c r="D37" s="149" t="s">
        <v>125</v>
      </c>
      <c r="E37" s="149" t="s">
        <v>126</v>
      </c>
      <c r="F37" s="150" t="s">
        <v>127</v>
      </c>
      <c r="G37" s="149" t="s">
        <v>128</v>
      </c>
      <c r="H37" s="136" t="s">
        <v>129</v>
      </c>
      <c r="I37" s="151" t="s">
        <v>130</v>
      </c>
      <c r="J37" s="152" t="s">
        <v>131</v>
      </c>
      <c r="K37" s="150" t="s">
        <v>132</v>
      </c>
      <c r="L37" s="85"/>
    </row>
    <row r="38" spans="2:14">
      <c r="B38" s="153" t="s">
        <v>134</v>
      </c>
      <c r="C38" s="153" t="s">
        <v>74</v>
      </c>
      <c r="D38" s="153">
        <v>1784.7</v>
      </c>
      <c r="E38" s="153">
        <v>0</v>
      </c>
      <c r="F38" s="110">
        <f t="shared" ref="F38:F65" si="5">D38-E38</f>
        <v>1784.7</v>
      </c>
      <c r="G38" s="153">
        <v>144.44999999999999</v>
      </c>
      <c r="H38" s="154">
        <f t="shared" ref="H38:H65" si="6">F38/G38</f>
        <v>12.355140186915889</v>
      </c>
      <c r="I38" s="155">
        <f>IF((0.281/0.6*(((1.6*$H$33*G38/151.67)/F38)-1))&lt;0.281,(0.281/0.6*(((1.6*$H$33*G38/151.67)/F38)-1)),0.281)</f>
        <v>6.6595441250630411E-2</v>
      </c>
      <c r="J38" s="156">
        <f>IF(I38&gt;0,ROUND(I38,3),0)</f>
        <v>6.7000000000000004E-2</v>
      </c>
      <c r="K38" s="157">
        <f t="shared" ref="K38:K63" si="7">D38*J38</f>
        <v>119.57490000000001</v>
      </c>
    </row>
    <row r="39" spans="2:14">
      <c r="B39" s="153"/>
      <c r="C39" s="153" t="s">
        <v>77</v>
      </c>
      <c r="D39" s="153">
        <v>1549.64</v>
      </c>
      <c r="E39" s="153">
        <v>0</v>
      </c>
      <c r="F39" s="114">
        <f t="shared" si="5"/>
        <v>1549.64</v>
      </c>
      <c r="G39" s="153">
        <v>144.44999999999999</v>
      </c>
      <c r="H39" s="154">
        <f t="shared" si="6"/>
        <v>10.727864312911043</v>
      </c>
      <c r="I39" s="158">
        <f t="shared" ref="I39:I65" si="8">IF((0.281/0.6*(((1.6*$H$33*G39/151.67)/F39)-1))&lt;0.281,(0.281/0.6*(((1.6*$H$33*G39/151.67)/F39)-1)),0.281)</f>
        <v>0.14773709850890104</v>
      </c>
      <c r="J39" s="159">
        <f t="shared" ref="J39:J63" si="9">IF(I39&gt;0,ROUND(I39,3),0)</f>
        <v>0.14799999999999999</v>
      </c>
      <c r="K39" s="160">
        <f t="shared" si="7"/>
        <v>229.34672</v>
      </c>
    </row>
    <row r="40" spans="2:14">
      <c r="B40" s="153"/>
      <c r="C40" s="161"/>
      <c r="D40" s="161"/>
      <c r="E40" s="161"/>
      <c r="F40" s="114"/>
      <c r="G40" s="161"/>
      <c r="H40" s="154"/>
      <c r="I40" s="158"/>
      <c r="J40" s="159"/>
      <c r="K40" s="160"/>
      <c r="L40" s="85"/>
    </row>
    <row r="41" spans="2:14">
      <c r="B41" s="153" t="s">
        <v>135</v>
      </c>
      <c r="C41" s="153" t="s">
        <v>74</v>
      </c>
      <c r="D41" s="161">
        <v>1871.59</v>
      </c>
      <c r="E41" s="161">
        <v>0</v>
      </c>
      <c r="F41" s="114">
        <f t="shared" si="5"/>
        <v>1871.59</v>
      </c>
      <c r="G41" s="161">
        <v>151.66999999999999</v>
      </c>
      <c r="H41" s="154">
        <f t="shared" si="6"/>
        <v>12.33988263994198</v>
      </c>
      <c r="I41" s="158">
        <f t="shared" si="8"/>
        <v>6.7256849559287471E-2</v>
      </c>
      <c r="J41" s="159">
        <f t="shared" si="9"/>
        <v>6.7000000000000004E-2</v>
      </c>
      <c r="K41" s="160">
        <f t="shared" si="7"/>
        <v>125.39653</v>
      </c>
      <c r="L41" s="85"/>
    </row>
    <row r="42" spans="2:14">
      <c r="B42" s="153"/>
      <c r="C42" s="153" t="s">
        <v>77</v>
      </c>
      <c r="D42" s="161">
        <v>2417.91</v>
      </c>
      <c r="E42" s="161"/>
      <c r="F42" s="114">
        <f t="shared" si="5"/>
        <v>2417.91</v>
      </c>
      <c r="G42" s="161">
        <v>225.34</v>
      </c>
      <c r="H42" s="154">
        <f t="shared" si="6"/>
        <v>10.730052365314634</v>
      </c>
      <c r="I42" s="158">
        <f t="shared" si="8"/>
        <v>0.14761147056755639</v>
      </c>
      <c r="J42" s="159">
        <f t="shared" si="9"/>
        <v>0.14799999999999999</v>
      </c>
      <c r="K42" s="160">
        <f t="shared" si="7"/>
        <v>357.85067999999995</v>
      </c>
      <c r="L42" s="85"/>
      <c r="M42" s="81" t="s">
        <v>139</v>
      </c>
      <c r="N42" s="81" t="s">
        <v>140</v>
      </c>
    </row>
    <row r="43" spans="2:14">
      <c r="B43" s="153"/>
      <c r="C43" s="153" t="s">
        <v>78</v>
      </c>
      <c r="D43" s="161">
        <v>1528.79</v>
      </c>
      <c r="E43" s="161">
        <v>191.06</v>
      </c>
      <c r="F43" s="114">
        <f t="shared" si="5"/>
        <v>1337.73</v>
      </c>
      <c r="G43" s="161">
        <v>169</v>
      </c>
      <c r="H43" s="154">
        <f t="shared" si="6"/>
        <v>7.9155621301775145</v>
      </c>
      <c r="I43" s="158">
        <f t="shared" si="8"/>
        <v>0.28100000000000003</v>
      </c>
      <c r="J43" s="159">
        <f t="shared" si="9"/>
        <v>0.28100000000000003</v>
      </c>
      <c r="K43" s="160">
        <f t="shared" si="7"/>
        <v>429.58999000000006</v>
      </c>
      <c r="L43" s="85"/>
    </row>
    <row r="44" spans="2:14">
      <c r="B44" s="153"/>
      <c r="C44" s="153" t="s">
        <v>79</v>
      </c>
      <c r="D44" s="161">
        <v>486.3</v>
      </c>
      <c r="E44" s="161">
        <v>60.75</v>
      </c>
      <c r="F44" s="114">
        <f t="shared" si="5"/>
        <v>425.55</v>
      </c>
      <c r="G44" s="161">
        <v>53.76</v>
      </c>
      <c r="H44" s="154">
        <f t="shared" si="6"/>
        <v>7.9157366071428577</v>
      </c>
      <c r="I44" s="158">
        <f t="shared" si="8"/>
        <v>0.28100000000000003</v>
      </c>
      <c r="J44" s="159">
        <f t="shared" si="9"/>
        <v>0.28100000000000003</v>
      </c>
      <c r="K44" s="160">
        <f t="shared" si="7"/>
        <v>136.65030000000002</v>
      </c>
      <c r="L44" s="85"/>
    </row>
    <row r="45" spans="2:14">
      <c r="B45" s="153"/>
      <c r="C45" s="161"/>
      <c r="D45" s="161"/>
      <c r="E45" s="161"/>
      <c r="F45" s="114"/>
      <c r="G45" s="161"/>
      <c r="H45" s="154"/>
      <c r="I45" s="158"/>
      <c r="J45" s="159"/>
      <c r="K45" s="160"/>
      <c r="L45" s="85"/>
    </row>
    <row r="46" spans="2:14">
      <c r="B46" s="153" t="s">
        <v>136</v>
      </c>
      <c r="C46" s="153" t="s">
        <v>74</v>
      </c>
      <c r="D46" s="161">
        <v>1871.59</v>
      </c>
      <c r="E46" s="161">
        <v>0</v>
      </c>
      <c r="F46" s="114">
        <f t="shared" si="5"/>
        <v>1871.59</v>
      </c>
      <c r="G46" s="161">
        <v>151.66999999999999</v>
      </c>
      <c r="H46" s="154">
        <f t="shared" si="6"/>
        <v>12.33988263994198</v>
      </c>
      <c r="I46" s="158">
        <f t="shared" si="8"/>
        <v>6.7256849559287471E-2</v>
      </c>
      <c r="J46" s="159">
        <f t="shared" si="9"/>
        <v>6.7000000000000004E-2</v>
      </c>
      <c r="K46" s="160">
        <f t="shared" si="7"/>
        <v>125.39653</v>
      </c>
      <c r="L46" s="85"/>
    </row>
    <row r="47" spans="2:14">
      <c r="B47" s="153"/>
      <c r="C47" s="153" t="s">
        <v>78</v>
      </c>
      <c r="D47" s="161">
        <v>997.05</v>
      </c>
      <c r="E47" s="161">
        <v>124.58</v>
      </c>
      <c r="F47" s="114">
        <f t="shared" si="5"/>
        <v>872.46999999999991</v>
      </c>
      <c r="G47" s="161">
        <v>110.22</v>
      </c>
      <c r="H47" s="154">
        <f t="shared" si="6"/>
        <v>7.915714026492469</v>
      </c>
      <c r="I47" s="158">
        <f t="shared" si="8"/>
        <v>0.28100000000000003</v>
      </c>
      <c r="J47" s="159">
        <f t="shared" si="9"/>
        <v>0.28100000000000003</v>
      </c>
      <c r="K47" s="160">
        <f t="shared" si="7"/>
        <v>280.17105000000004</v>
      </c>
      <c r="L47" s="85"/>
    </row>
    <row r="48" spans="2:14">
      <c r="B48" s="153"/>
      <c r="C48" s="153" t="s">
        <v>79</v>
      </c>
      <c r="D48" s="161">
        <v>1118.48</v>
      </c>
      <c r="E48" s="161">
        <v>121.49</v>
      </c>
      <c r="F48" s="114">
        <f>D48-E48</f>
        <v>996.99</v>
      </c>
      <c r="G48" s="161">
        <f>107.52+16.54</f>
        <v>124.06</v>
      </c>
      <c r="H48" s="154">
        <f>F48/G48</f>
        <v>8.0363533773980329</v>
      </c>
      <c r="I48" s="158">
        <f>IF((0.281/0.6*(((1.6*$H$33*G48/151.67)/F48)-1))&lt;0.281,(0.281/0.6*(((1.6*$H$33*G48/151.67)/F48)-1)),0.281)</f>
        <v>0.28100000000000003</v>
      </c>
      <c r="J48" s="159">
        <f>IF(I48&gt;0,ROUND(I48,3),0)</f>
        <v>0.28100000000000003</v>
      </c>
      <c r="K48" s="160">
        <f>D48*J48</f>
        <v>314.29288000000003</v>
      </c>
      <c r="L48" s="85">
        <v>191.26</v>
      </c>
      <c r="M48" s="168">
        <f>K48-L48</f>
        <v>123.03288000000003</v>
      </c>
      <c r="N48" s="81" t="s">
        <v>140</v>
      </c>
    </row>
    <row r="49" spans="2:13">
      <c r="B49" s="153"/>
      <c r="C49" s="153" t="s">
        <v>81</v>
      </c>
      <c r="D49" s="161">
        <v>912.56</v>
      </c>
      <c r="E49" s="161">
        <v>102.55</v>
      </c>
      <c r="F49" s="114">
        <f t="shared" si="5"/>
        <v>810.01</v>
      </c>
      <c r="G49" s="161">
        <v>155.6</v>
      </c>
      <c r="H49" s="154">
        <f t="shared" si="6"/>
        <v>5.2057197943444731</v>
      </c>
      <c r="I49" s="158">
        <f t="shared" si="8"/>
        <v>0.28100000000000003</v>
      </c>
      <c r="J49" s="159">
        <f t="shared" si="9"/>
        <v>0.28100000000000003</v>
      </c>
      <c r="K49" s="160">
        <f t="shared" si="7"/>
        <v>256.42936000000003</v>
      </c>
      <c r="L49" s="85"/>
    </row>
    <row r="50" spans="2:13">
      <c r="B50" s="153"/>
      <c r="C50" s="153" t="s">
        <v>83</v>
      </c>
      <c r="D50" s="161">
        <v>664.61</v>
      </c>
      <c r="E50" s="161">
        <v>83.02</v>
      </c>
      <c r="F50" s="114">
        <f t="shared" si="5"/>
        <v>581.59</v>
      </c>
      <c r="G50" s="161">
        <v>73.47</v>
      </c>
      <c r="H50" s="154">
        <f t="shared" si="6"/>
        <v>7.9160201442765761</v>
      </c>
      <c r="I50" s="158">
        <f t="shared" si="8"/>
        <v>0.28100000000000003</v>
      </c>
      <c r="J50" s="159">
        <f t="shared" si="9"/>
        <v>0.28100000000000003</v>
      </c>
      <c r="K50" s="160">
        <f t="shared" si="7"/>
        <v>186.75541000000001</v>
      </c>
      <c r="L50" s="85"/>
    </row>
    <row r="51" spans="2:13">
      <c r="B51" s="153"/>
      <c r="C51" s="153" t="s">
        <v>84</v>
      </c>
      <c r="D51" s="161">
        <v>664.61</v>
      </c>
      <c r="E51" s="161">
        <v>83.02</v>
      </c>
      <c r="F51" s="114">
        <f t="shared" si="5"/>
        <v>581.59</v>
      </c>
      <c r="G51" s="161">
        <v>73.47</v>
      </c>
      <c r="H51" s="154">
        <f t="shared" si="6"/>
        <v>7.9160201442765761</v>
      </c>
      <c r="I51" s="158">
        <f t="shared" si="8"/>
        <v>0.28100000000000003</v>
      </c>
      <c r="J51" s="159">
        <f t="shared" si="9"/>
        <v>0.28100000000000003</v>
      </c>
      <c r="K51" s="160">
        <f t="shared" si="7"/>
        <v>186.75541000000001</v>
      </c>
      <c r="L51" s="85"/>
    </row>
    <row r="52" spans="2:13">
      <c r="B52" s="153"/>
      <c r="C52" s="161"/>
      <c r="D52" s="161"/>
      <c r="E52" s="161"/>
      <c r="F52" s="114"/>
      <c r="G52" s="161"/>
      <c r="H52" s="154"/>
      <c r="I52" s="158"/>
      <c r="J52" s="159"/>
      <c r="K52" s="160"/>
      <c r="L52" s="85"/>
    </row>
    <row r="53" spans="2:13">
      <c r="B53" s="153" t="s">
        <v>137</v>
      </c>
      <c r="C53" s="153" t="s">
        <v>74</v>
      </c>
      <c r="D53" s="161">
        <v>1871.59</v>
      </c>
      <c r="E53" s="161">
        <v>0</v>
      </c>
      <c r="F53" s="114">
        <f t="shared" si="5"/>
        <v>1871.59</v>
      </c>
      <c r="G53" s="161">
        <v>151.66999999999999</v>
      </c>
      <c r="H53" s="154">
        <f t="shared" si="6"/>
        <v>12.33988263994198</v>
      </c>
      <c r="I53" s="158">
        <f t="shared" si="8"/>
        <v>6.7256849559287471E-2</v>
      </c>
      <c r="J53" s="159">
        <f t="shared" si="9"/>
        <v>6.7000000000000004E-2</v>
      </c>
      <c r="K53" s="160">
        <f t="shared" si="7"/>
        <v>125.39653</v>
      </c>
      <c r="L53" s="85"/>
    </row>
    <row r="54" spans="2:13">
      <c r="B54" s="153"/>
      <c r="C54" s="153" t="s">
        <v>78</v>
      </c>
      <c r="D54" s="161">
        <v>1073.8399999999999</v>
      </c>
      <c r="E54" s="161">
        <v>132.30000000000001</v>
      </c>
      <c r="F54" s="114">
        <f t="shared" si="5"/>
        <v>941.54</v>
      </c>
      <c r="G54" s="161">
        <v>118.75</v>
      </c>
      <c r="H54" s="154">
        <f t="shared" si="6"/>
        <v>7.928757894736842</v>
      </c>
      <c r="I54" s="158">
        <f t="shared" si="8"/>
        <v>0.28100000000000003</v>
      </c>
      <c r="J54" s="159">
        <f t="shared" si="9"/>
        <v>0.28100000000000003</v>
      </c>
      <c r="K54" s="160">
        <f t="shared" si="7"/>
        <v>301.74903999999998</v>
      </c>
      <c r="L54" s="85"/>
    </row>
    <row r="55" spans="2:13">
      <c r="B55" s="153"/>
      <c r="C55" s="153" t="s">
        <v>81</v>
      </c>
      <c r="D55" s="161">
        <v>993.71</v>
      </c>
      <c r="E55" s="161">
        <v>124.19</v>
      </c>
      <c r="F55" s="114">
        <f t="shared" si="5"/>
        <v>869.52</v>
      </c>
      <c r="G55" s="161">
        <v>169</v>
      </c>
      <c r="H55" s="154">
        <f t="shared" si="6"/>
        <v>5.1450887573964499</v>
      </c>
      <c r="I55" s="158">
        <f t="shared" si="8"/>
        <v>0.28100000000000003</v>
      </c>
      <c r="J55" s="159">
        <f t="shared" si="9"/>
        <v>0.28100000000000003</v>
      </c>
      <c r="K55" s="160">
        <f t="shared" si="7"/>
        <v>279.23251000000005</v>
      </c>
      <c r="L55" s="85"/>
    </row>
    <row r="56" spans="2:13">
      <c r="B56" s="153"/>
      <c r="C56" s="153" t="s">
        <v>83</v>
      </c>
      <c r="D56" s="161">
        <v>1456.03</v>
      </c>
      <c r="E56" s="161">
        <v>180.04</v>
      </c>
      <c r="F56" s="114">
        <f t="shared" si="5"/>
        <v>1275.99</v>
      </c>
      <c r="G56" s="161">
        <v>161</v>
      </c>
      <c r="H56" s="154">
        <f t="shared" si="6"/>
        <v>7.9254037267080744</v>
      </c>
      <c r="I56" s="158">
        <f t="shared" si="8"/>
        <v>0.28100000000000003</v>
      </c>
      <c r="J56" s="159">
        <f t="shared" si="9"/>
        <v>0.28100000000000003</v>
      </c>
      <c r="K56" s="160">
        <f t="shared" si="7"/>
        <v>409.14443000000006</v>
      </c>
      <c r="L56" s="85"/>
    </row>
    <row r="57" spans="2:13">
      <c r="B57" s="153"/>
      <c r="C57" s="153" t="s">
        <v>84</v>
      </c>
      <c r="D57" s="161">
        <v>1456.03</v>
      </c>
      <c r="E57" s="161">
        <v>180.04</v>
      </c>
      <c r="F57" s="114">
        <f t="shared" si="5"/>
        <v>1275.99</v>
      </c>
      <c r="G57" s="161">
        <v>161</v>
      </c>
      <c r="H57" s="154">
        <f t="shared" si="6"/>
        <v>7.9254037267080744</v>
      </c>
      <c r="I57" s="158">
        <f t="shared" si="8"/>
        <v>0.28100000000000003</v>
      </c>
      <c r="J57" s="159">
        <f t="shared" si="9"/>
        <v>0.28100000000000003</v>
      </c>
      <c r="K57" s="160">
        <f t="shared" si="7"/>
        <v>409.14443000000006</v>
      </c>
      <c r="L57" s="85"/>
    </row>
    <row r="58" spans="2:13">
      <c r="B58" s="153"/>
      <c r="C58" s="153"/>
      <c r="D58" s="161"/>
      <c r="E58" s="161"/>
      <c r="F58" s="114"/>
      <c r="G58" s="161"/>
      <c r="H58" s="154"/>
      <c r="I58" s="158"/>
      <c r="J58" s="159"/>
      <c r="K58" s="160"/>
      <c r="L58" s="85"/>
    </row>
    <row r="59" spans="2:13">
      <c r="B59" s="153" t="s">
        <v>138</v>
      </c>
      <c r="C59" s="153" t="s">
        <v>74</v>
      </c>
      <c r="D59" s="161">
        <v>1871.59</v>
      </c>
      <c r="E59" s="161">
        <v>0</v>
      </c>
      <c r="F59" s="114">
        <f t="shared" si="5"/>
        <v>1871.59</v>
      </c>
      <c r="G59" s="161">
        <v>151.66999999999999</v>
      </c>
      <c r="H59" s="154">
        <f t="shared" si="6"/>
        <v>12.33988263994198</v>
      </c>
      <c r="I59" s="158">
        <f t="shared" si="8"/>
        <v>6.7256849559287471E-2</v>
      </c>
      <c r="J59" s="159">
        <f t="shared" si="9"/>
        <v>6.7000000000000004E-2</v>
      </c>
      <c r="K59" s="160">
        <f t="shared" si="7"/>
        <v>125.39653</v>
      </c>
      <c r="L59" s="85"/>
    </row>
    <row r="60" spans="2:13">
      <c r="B60" s="153"/>
      <c r="C60" s="153" t="s">
        <v>78</v>
      </c>
      <c r="D60" s="161">
        <v>1528.79</v>
      </c>
      <c r="E60" s="161">
        <v>191.06</v>
      </c>
      <c r="F60" s="114">
        <f t="shared" si="5"/>
        <v>1337.73</v>
      </c>
      <c r="G60" s="161">
        <v>169</v>
      </c>
      <c r="H60" s="154">
        <f t="shared" si="6"/>
        <v>7.9155621301775145</v>
      </c>
      <c r="I60" s="158">
        <f t="shared" si="8"/>
        <v>0.28100000000000003</v>
      </c>
      <c r="J60" s="159">
        <f t="shared" si="9"/>
        <v>0.28100000000000003</v>
      </c>
      <c r="K60" s="160">
        <f t="shared" si="7"/>
        <v>429.58999000000006</v>
      </c>
      <c r="L60" s="85"/>
      <c r="M60">
        <f>+K60/3*2</f>
        <v>286.39332666666672</v>
      </c>
    </row>
    <row r="61" spans="2:13">
      <c r="B61" s="153"/>
      <c r="C61" s="153" t="s">
        <v>81</v>
      </c>
      <c r="D61" s="161">
        <v>993.71</v>
      </c>
      <c r="E61" s="161">
        <v>124.19</v>
      </c>
      <c r="F61" s="114">
        <f t="shared" si="5"/>
        <v>869.52</v>
      </c>
      <c r="G61" s="161">
        <v>169</v>
      </c>
      <c r="H61" s="154">
        <f t="shared" si="6"/>
        <v>5.1450887573964499</v>
      </c>
      <c r="I61" s="158">
        <f t="shared" si="8"/>
        <v>0.28100000000000003</v>
      </c>
      <c r="J61" s="159">
        <f t="shared" si="9"/>
        <v>0.28100000000000003</v>
      </c>
      <c r="K61" s="160">
        <f t="shared" si="7"/>
        <v>279.23251000000005</v>
      </c>
      <c r="L61" s="85"/>
    </row>
    <row r="62" spans="2:13">
      <c r="B62" s="153"/>
      <c r="C62" s="153" t="s">
        <v>83</v>
      </c>
      <c r="D62" s="161">
        <v>1262.83</v>
      </c>
      <c r="E62" s="161">
        <v>157.77000000000001</v>
      </c>
      <c r="F62" s="114">
        <f t="shared" si="5"/>
        <v>1105.06</v>
      </c>
      <c r="G62" s="161">
        <v>139.6</v>
      </c>
      <c r="H62" s="154">
        <f t="shared" si="6"/>
        <v>7.9159025787965618</v>
      </c>
      <c r="I62" s="158">
        <f t="shared" si="8"/>
        <v>0.28100000000000003</v>
      </c>
      <c r="J62" s="159">
        <f t="shared" si="9"/>
        <v>0.28100000000000003</v>
      </c>
      <c r="K62" s="160">
        <f t="shared" si="7"/>
        <v>354.85523000000001</v>
      </c>
      <c r="L62" s="85"/>
    </row>
    <row r="63" spans="2:13">
      <c r="B63" s="153"/>
      <c r="C63" s="153" t="s">
        <v>84</v>
      </c>
      <c r="D63" s="161">
        <v>1528.79</v>
      </c>
      <c r="E63" s="161">
        <v>191.06</v>
      </c>
      <c r="F63" s="114">
        <f t="shared" si="5"/>
        <v>1337.73</v>
      </c>
      <c r="G63" s="161">
        <v>169</v>
      </c>
      <c r="H63" s="154">
        <f t="shared" si="6"/>
        <v>7.9155621301775145</v>
      </c>
      <c r="I63" s="158">
        <f t="shared" si="8"/>
        <v>0.28100000000000003</v>
      </c>
      <c r="J63" s="159">
        <f t="shared" si="9"/>
        <v>0.28100000000000003</v>
      </c>
      <c r="K63" s="160">
        <f t="shared" si="7"/>
        <v>429.58999000000006</v>
      </c>
      <c r="L63" s="85"/>
    </row>
    <row r="64" spans="2:13">
      <c r="B64" s="153"/>
      <c r="C64" s="153"/>
      <c r="D64" s="161"/>
      <c r="E64" s="161"/>
      <c r="F64" s="114">
        <f t="shared" si="5"/>
        <v>0</v>
      </c>
      <c r="G64" s="161"/>
      <c r="H64" s="154" t="e">
        <f t="shared" si="6"/>
        <v>#DIV/0!</v>
      </c>
      <c r="I64" s="158" t="e">
        <f t="shared" si="8"/>
        <v>#DIV/0!</v>
      </c>
      <c r="J64" s="159">
        <v>0</v>
      </c>
      <c r="K64" s="160">
        <v>0</v>
      </c>
      <c r="L64" s="85"/>
    </row>
    <row r="65" spans="2:12">
      <c r="B65" s="163"/>
      <c r="C65" s="163"/>
      <c r="D65" s="163"/>
      <c r="E65" s="163"/>
      <c r="F65" s="113">
        <f t="shared" si="5"/>
        <v>0</v>
      </c>
      <c r="G65" s="163"/>
      <c r="H65" s="164" t="e">
        <f t="shared" si="6"/>
        <v>#DIV/0!</v>
      </c>
      <c r="I65" s="165" t="e">
        <f t="shared" si="8"/>
        <v>#DIV/0!</v>
      </c>
      <c r="J65" s="166">
        <v>0</v>
      </c>
      <c r="K65" s="167">
        <v>0</v>
      </c>
    </row>
    <row r="66" spans="2:12" ht="13.5" thickBot="1">
      <c r="H66" s="147"/>
    </row>
    <row r="67" spans="2:12" ht="13.5" thickBot="1">
      <c r="I67" s="170" t="s">
        <v>141</v>
      </c>
      <c r="J67" s="171"/>
      <c r="K67" s="172">
        <f>SUM(K38:K66)</f>
        <v>5891.5409500000023</v>
      </c>
    </row>
    <row r="68" spans="2:12">
      <c r="K68" s="147"/>
    </row>
    <row r="69" spans="2:12">
      <c r="J69" s="81" t="s">
        <v>142</v>
      </c>
      <c r="K69">
        <v>5745.32</v>
      </c>
    </row>
    <row r="70" spans="2:12">
      <c r="J70" s="85" t="s">
        <v>143</v>
      </c>
      <c r="K70" s="169">
        <f>K67-K69</f>
        <v>146.22095000000263</v>
      </c>
      <c r="L70" s="173" t="s">
        <v>144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CTRL DADS</vt:lpstr>
      <vt:lpstr>APPR.</vt:lpstr>
      <vt:lpstr>FILLON</vt:lpstr>
      <vt:lpstr>'CTRL DADS'!Zone_d_impression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COHEN</dc:creator>
  <cp:lastModifiedBy>Yann Bigot</cp:lastModifiedBy>
  <cp:lastPrinted>2010-01-31T20:49:34Z</cp:lastPrinted>
  <dcterms:created xsi:type="dcterms:W3CDTF">2008-03-06T17:14:53Z</dcterms:created>
  <dcterms:modified xsi:type="dcterms:W3CDTF">2010-02-01T02:24:10Z</dcterms:modified>
</cp:coreProperties>
</file>